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mbl\Downloads\"/>
    </mc:Choice>
  </mc:AlternateContent>
  <bookViews>
    <workbookView xWindow="0" yWindow="0" windowWidth="25128" windowHeight="12312" tabRatio="845"/>
  </bookViews>
  <sheets>
    <sheet name="Title" sheetId="45" r:id="rId1"/>
    <sheet name="Menu" sheetId="57" r:id="rId2"/>
    <sheet name="Guide" sheetId="46" r:id="rId3"/>
    <sheet name="INPUTS-&gt;" sheetId="50" r:id="rId4"/>
    <sheet name="Parameters" sheetId="13" r:id="rId5"/>
    <sheet name="Scale-up" sheetId="11" r:id="rId6"/>
    <sheet name="SERVICES-&gt;" sheetId="53" r:id="rId7"/>
    <sheet name="Package_Services" sheetId="21" r:id="rId8"/>
    <sheet name="Coverage" sheetId="22" r:id="rId9"/>
    <sheet name="Treatment_Guidelines" sheetId="23" r:id="rId10"/>
    <sheet name="COST CATEGORIES-&gt;" sheetId="52" r:id="rId11"/>
    <sheet name="Staff_Costs" sheetId="15" r:id="rId12"/>
    <sheet name="Training" sheetId="2" r:id="rId13"/>
    <sheet name="Equipment" sheetId="49" r:id="rId14"/>
    <sheet name="Assistive_Products_Costs" sheetId="35" r:id="rId15"/>
    <sheet name="Other_Recurrent_Costs" sheetId="4" r:id="rId16"/>
    <sheet name="Start_Up_Capital_Costs" sheetId="1" r:id="rId17"/>
    <sheet name="Financing" sheetId="33" r:id="rId18"/>
    <sheet name="SUMMARY TABS-&gt;" sheetId="51" r:id="rId19"/>
    <sheet name="Summary_Tables" sheetId="42" r:id="rId20"/>
    <sheet name="Graphs" sheetId="47" r:id="rId21"/>
    <sheet name="AP_Quantification" sheetId="41" r:id="rId22"/>
    <sheet name="Summary_TG" sheetId="37" state="hidden" r:id="rId23"/>
    <sheet name="Demography" sheetId="17" state="hidden" r:id="rId24"/>
    <sheet name="Summary_Services" sheetId="36" state="hidden" r:id="rId25"/>
    <sheet name="Summary_HCW" sheetId="30" state="hidden" r:id="rId26"/>
    <sheet name="Quantification" sheetId="40" state="hidden" r:id="rId27"/>
    <sheet name="Cost_by_Input" sheetId="34" state="hidden" r:id="rId28"/>
    <sheet name="Cost_per_Service" sheetId="39" state="hidden" r:id="rId29"/>
    <sheet name="Lists" sheetId="9" r:id="rId30"/>
    <sheet name="REFERENCE DATA-&gt;" sheetId="54" r:id="rId31"/>
    <sheet name="Ref | Country_Database" sheetId="12" r:id="rId32"/>
    <sheet name="Ref | AT_Catalogue_Vision" sheetId="32" r:id="rId33"/>
    <sheet name="Ref | Salary_Scales" sheetId="19" r:id="rId34"/>
    <sheet name="Ref | Blank 1" sheetId="48" r:id="rId35"/>
    <sheet name="Ref | Blank 2" sheetId="56" r:id="rId36"/>
    <sheet name="Ref | Blank 3" sheetId="55" r:id="rId37"/>
    <sheet name="Back_Calculations" sheetId="20" r:id="rId38"/>
  </sheets>
  <externalReferences>
    <externalReference r:id="rId39"/>
    <externalReference r:id="rId40"/>
    <externalReference r:id="rId41"/>
  </externalReferences>
  <definedNames>
    <definedName name="__123Graph_A" hidden="1">#REF!</definedName>
    <definedName name="__123Graph_AGRAPH1" hidden="1">#REF!</definedName>
    <definedName name="__123Graph_AGRAPH2" hidden="1">#REF!</definedName>
    <definedName name="__123Graph_AGRAPH3" hidden="1">#REF!</definedName>
    <definedName name="__123Graph_AGRAPH4" hidden="1">#REF!</definedName>
    <definedName name="__123Graph_AGRAPH5" hidden="1">#REF!</definedName>
    <definedName name="__123Graph_AGRAPH6" hidden="1">#REF!</definedName>
    <definedName name="__123Graph_B" hidden="1">#REF!</definedName>
    <definedName name="__123Graph_BGRAPH1" hidden="1">#REF!</definedName>
    <definedName name="__123Graph_BGRAPH2" hidden="1">#REF!</definedName>
    <definedName name="__123Graph_BGRAPH3" hidden="1">#REF!</definedName>
    <definedName name="__123Graph_BGRAPH4" hidden="1">#REF!</definedName>
    <definedName name="__123Graph_BGRAPH5" hidden="1">#REF!</definedName>
    <definedName name="__123Graph_BGRAPH6" hidden="1">#REF!</definedName>
    <definedName name="__123Graph_C" hidden="1">#REF!</definedName>
    <definedName name="__123Graph_CGRAPH1" hidden="1">#REF!</definedName>
    <definedName name="__123Graph_CGRAPH2" hidden="1">#REF!</definedName>
    <definedName name="__123Graph_CGRAPH3" hidden="1">#REF!</definedName>
    <definedName name="__123Graph_CGRAPH6" hidden="1">#REF!</definedName>
    <definedName name="__123Graph_D" hidden="1">#REF!</definedName>
    <definedName name="__123Graph_DGRAPH1" hidden="1">#REF!</definedName>
    <definedName name="__123Graph_DGRAPH3" hidden="1">#REF!</definedName>
    <definedName name="__123Graph_DGRAPH6" hidden="1">#REF!</definedName>
    <definedName name="__123Graph_LBL_A" hidden="1">#REF!</definedName>
    <definedName name="__123Graph_LBL_AGRAPH1" hidden="1">#REF!</definedName>
    <definedName name="__123Graph_LBL_AGRAPH2" hidden="1">#REF!</definedName>
    <definedName name="__123Graph_LBL_B" hidden="1">#REF!</definedName>
    <definedName name="__123Graph_LBL_BGRAPH2" hidden="1">#REF!</definedName>
    <definedName name="__123Graph_LBL_D" hidden="1">#REF!</definedName>
    <definedName name="__123Graph_LBL_DGRAPH1" hidden="1">#REF!</definedName>
    <definedName name="__123Graph_X" hidden="1">#REF!</definedName>
    <definedName name="__123Graph_XGRAPH1" hidden="1">#REF!</definedName>
    <definedName name="__123Graph_XGRAPH2" hidden="1">#REF!</definedName>
    <definedName name="__123Graph_XGRAPH3" hidden="1">#REF!</definedName>
    <definedName name="__123Graph_XGRAPH4" hidden="1">#REF!</definedName>
    <definedName name="__123Graph_XGRAPH5" hidden="1">#REF!</definedName>
    <definedName name="__123Graph_XGRAPH6" hidden="1">#REF!</definedName>
    <definedName name="_Fill" hidden="1">#REF!</definedName>
    <definedName name="_xlnm._FilterDatabase" localSheetId="31" hidden="1">'Ref | Country_Database'!$A$6:$AM$6</definedName>
    <definedName name="_rt1">Staff_Costs!$D$9</definedName>
    <definedName name="_rt10">Staff_Costs!$D$18</definedName>
    <definedName name="_rt2">Staff_Costs!$D$10</definedName>
    <definedName name="_rt3">Staff_Costs!$D$11</definedName>
    <definedName name="_rt4">Staff_Costs!$D$12</definedName>
    <definedName name="_rt5">Staff_Costs!$D$13</definedName>
    <definedName name="_rt6">Staff_Costs!$D$14</definedName>
    <definedName name="_rt7">Staff_Costs!$D$15</definedName>
    <definedName name="_rt8">Staff_Costs!$D$16</definedName>
    <definedName name="_rt9">Staff_Costs!$D$17</definedName>
    <definedName name="_xlcn.WorksheetConnection_Template_NSP2025_V1.xlsxPM" hidden="1">[1]!PM[#Data]</definedName>
    <definedName name="_xlcn.WorksheetConnection_Template_NSP2025_V1.xlsxResDev" hidden="1">[1]!ResDev[#Data]</definedName>
    <definedName name="assistive_device_list">Assistive_Products_Costs!$B$11:$B$110</definedName>
    <definedName name="baseline_year">Parameters!$D$7</definedName>
    <definedName name="country_database">'Ref | Country_Database'!$C$7:$AL$191</definedName>
    <definedName name="country_list">'Ref | Country_Database'!$C$7:$C$191</definedName>
    <definedName name="coverage_list">OFFSET(Coverage!$B$9,0,0,100-COUNTIF(Coverage!$B$9:$B$38,""),1)</definedName>
    <definedName name="currencies">Lists!$B$2:$B$3</definedName>
    <definedName name="currency_calculation">Summary_Tables!$L$1</definedName>
    <definedName name="currency_enter" hidden="1">Parameters!$D$14</definedName>
    <definedName name="currency_results">Summary_Tables!$B$3</definedName>
    <definedName name="currency_used">Parameters!$D$14</definedName>
    <definedName name="database_indicators">'Ref | Country_Database'!$C$6:$AL$6</definedName>
    <definedName name="default_pop_categories" localSheetId="23">Demography!$K$5</definedName>
    <definedName name="device_markup">Assistive_Products_Costs!$F$6</definedName>
    <definedName name="discount_rate">Back_Calculations!$K$10</definedName>
    <definedName name="exchange_rate">Parameters!$D$13</definedName>
    <definedName name="frequency_service_provision">Lists!$A$2:$A$7</definedName>
    <definedName name="funding_sources">Parameters!$C$44:$C$63</definedName>
    <definedName name="Header1" hidden="1">IF(COUNTA(#REF!)=0,0,INDEX(#REF!,MATCH(ROW(#REF!),#REF!,TRUE)))+1</definedName>
    <definedName name="Header2" hidden="1">[2]!Header1-1 &amp; "." &amp; MAX(1,COUNTA(INDEX(#REF!,MATCH([2]!Header1-1,#REF!,FALSE)):#REF!))</definedName>
    <definedName name="healthsystem_levels">Lists!$D$2:$D$7</definedName>
    <definedName name="in">[3]Program_Data!$D$16</definedName>
    <definedName name="inflation_rate">Parameters!$D$16</definedName>
    <definedName name="input_list">Lists!$H$2:$H$16</definedName>
    <definedName name="interest_rate">Back_Calculations!$K$8</definedName>
    <definedName name="length_of_program">Parameters!$D$22</definedName>
    <definedName name="level1">Parameters!$C$34</definedName>
    <definedName name="level2">Parameters!$C$35</definedName>
    <definedName name="level3">Parameters!$C$36</definedName>
    <definedName name="level4">Parameters!$C$37</definedName>
    <definedName name="lookup_assistive_device">Assistive_Products_Costs!$B$11:$E$110</definedName>
    <definedName name="lookup_demography">Demography!$B$19:$H$33</definedName>
    <definedName name="lookup_healthsystemlevels">Demography!$B$12:$H$15</definedName>
    <definedName name="lookup_rt_numbers">Summary_HCW!$B$84:$H$91</definedName>
    <definedName name="lookup_rt_recurrent">Summary_HCW!$B$96:$H$103</definedName>
    <definedName name="lookup_salaries">Back_Calculations!$B$39:$I$81</definedName>
    <definedName name="lookup_targetpop">Package_Services!$B$8:$G$37</definedName>
    <definedName name="lookup_time_cost">Summary_TG!$B$9:$H$108</definedName>
    <definedName name="markup_equipement">Equipment!$I$5</definedName>
    <definedName name="national_currency">Parameters!$D$12</definedName>
    <definedName name="national_pop">Parameters!$D$9</definedName>
    <definedName name="national_pop_growth">Parameters!$D$10</definedName>
    <definedName name="percent_0_1" localSheetId="23">Demography!$K$9</definedName>
    <definedName name="percent_0_5" localSheetId="23">Demography!$K$10</definedName>
    <definedName name="percent_15_24" localSheetId="23">Demography!$K$12</definedName>
    <definedName name="percent_25_49" localSheetId="23">Demography!$K$13</definedName>
    <definedName name="percent_5_14" localSheetId="23">Demography!$K$11</definedName>
    <definedName name="percent_50" localSheetId="23">Demography!$K$14</definedName>
    <definedName name="percent_female" localSheetId="23">Demography!$K$8</definedName>
    <definedName name="program">Parameters!$D$20</definedName>
    <definedName name="program_list">Lists!$F$2:$F$6</definedName>
    <definedName name="rt_cat">Lists!$C$2:$C$9</definedName>
    <definedName name="salary_increase">Back_Calculations!$E$33</definedName>
    <definedName name="scaleup">Parameters!$D$24</definedName>
    <definedName name="selected_country">Parameters!$D$5</definedName>
    <definedName name="service_type">Lists!$E$2:$E$7</definedName>
    <definedName name="stg_cost1">Quantification!$AE$6:$AE$405</definedName>
    <definedName name="stg_cost2">Quantification!$AF$6:$AF$405</definedName>
    <definedName name="stg_cost3">Quantification!$AG$6:$AG$405</definedName>
    <definedName name="stg_cost4">Quantification!$AH$6:$AH$405</definedName>
    <definedName name="stg_cost5">Quantification!$AI$6:$AI$405</definedName>
    <definedName name="stg_cost6">Quantification!$AJ$6:$AJ$405</definedName>
    <definedName name="stg_list">Quantification!$A$6:$A$405</definedName>
    <definedName name="stg_unit1">Quantification!$X$6:$X$405</definedName>
    <definedName name="stg_unit2">Quantification!$Y$6:$Y$405</definedName>
    <definedName name="stg_unit3">Quantification!$Z$6:$Z$405</definedName>
    <definedName name="stg_unit4">Quantification!$AA$6:$AA$405</definedName>
    <definedName name="stg_unit5">Quantification!$AB$6:$AB$405</definedName>
    <definedName name="stg_unit6">Quantification!$AC$6:$AC$405</definedName>
    <definedName name="target_pop">Parameters!$D$26</definedName>
    <definedName name="target_pops">Lists!$G$2:$G$10</definedName>
    <definedName name="tool_name">Title!$A$2</definedName>
    <definedName name="year_dropdown">Summary_HCW!$C$4:$H$4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4" i="15" l="1"/>
  <c r="B2" i="57"/>
  <c r="A2" i="20" l="1"/>
  <c r="M28" i="47"/>
  <c r="M50" i="47"/>
  <c r="B36" i="42"/>
  <c r="C8" i="11" l="1"/>
  <c r="B85" i="42"/>
  <c r="B67" i="42"/>
  <c r="B40" i="42" l="1"/>
  <c r="A12" i="34"/>
  <c r="Q12" i="34" s="1"/>
  <c r="A13" i="34"/>
  <c r="Q13" i="34" s="1"/>
  <c r="A14" i="34"/>
  <c r="Q14" i="34" s="1"/>
  <c r="A15" i="34"/>
  <c r="Y12" i="34"/>
  <c r="Y13" i="34"/>
  <c r="Y14" i="34"/>
  <c r="Y15" i="34"/>
  <c r="Z12" i="34"/>
  <c r="AA12" i="34"/>
  <c r="AB12" i="34"/>
  <c r="AC12" i="34"/>
  <c r="AD12" i="34"/>
  <c r="AE12" i="34"/>
  <c r="Z13" i="34"/>
  <c r="AA13" i="34"/>
  <c r="AB13" i="34"/>
  <c r="AC13" i="34"/>
  <c r="AD13" i="34"/>
  <c r="AE13" i="34"/>
  <c r="Z14" i="34"/>
  <c r="AA14" i="34"/>
  <c r="AB14" i="34"/>
  <c r="AC14" i="34"/>
  <c r="AD14" i="34"/>
  <c r="AE14" i="34"/>
  <c r="Z15" i="34"/>
  <c r="AA15" i="34"/>
  <c r="AB15" i="34"/>
  <c r="AC15" i="34"/>
  <c r="AD15" i="34"/>
  <c r="AE15" i="34"/>
  <c r="B59" i="34"/>
  <c r="C59" i="34"/>
  <c r="D59" i="34"/>
  <c r="E59" i="34"/>
  <c r="F59" i="34"/>
  <c r="G59" i="34"/>
  <c r="B60" i="34"/>
  <c r="C60" i="34"/>
  <c r="D60" i="34"/>
  <c r="E60" i="34"/>
  <c r="F60" i="34"/>
  <c r="G60" i="34"/>
  <c r="B61" i="34"/>
  <c r="C61" i="34"/>
  <c r="D61" i="34"/>
  <c r="E61" i="34"/>
  <c r="F61" i="34"/>
  <c r="G61" i="34"/>
  <c r="B62" i="34"/>
  <c r="C62" i="34"/>
  <c r="D62" i="34"/>
  <c r="E62" i="34"/>
  <c r="F62" i="34"/>
  <c r="G62" i="34"/>
  <c r="B63" i="34"/>
  <c r="C63" i="34"/>
  <c r="D63" i="34"/>
  <c r="E63" i="34"/>
  <c r="F63" i="34"/>
  <c r="G63" i="34"/>
  <c r="Q17" i="49"/>
  <c r="R17" i="49"/>
  <c r="S17" i="49"/>
  <c r="T17" i="49"/>
  <c r="U17" i="49"/>
  <c r="V17" i="49"/>
  <c r="Q18" i="49"/>
  <c r="R18" i="49"/>
  <c r="S18" i="49"/>
  <c r="T18" i="49"/>
  <c r="U18" i="49"/>
  <c r="V18" i="49"/>
  <c r="Q19" i="49"/>
  <c r="R19" i="49"/>
  <c r="S19" i="49"/>
  <c r="T19" i="49"/>
  <c r="U19" i="49"/>
  <c r="V19" i="49"/>
  <c r="Q20" i="49"/>
  <c r="R20" i="49"/>
  <c r="S20" i="49"/>
  <c r="T20" i="49"/>
  <c r="U20" i="49"/>
  <c r="V20" i="49"/>
  <c r="Q21" i="49"/>
  <c r="R21" i="49"/>
  <c r="S21" i="49"/>
  <c r="T21" i="49"/>
  <c r="U21" i="49"/>
  <c r="V21" i="49"/>
  <c r="Q22" i="49"/>
  <c r="R22" i="49"/>
  <c r="S22" i="49"/>
  <c r="T22" i="49"/>
  <c r="U22" i="49"/>
  <c r="V22" i="49"/>
  <c r="Q23" i="49"/>
  <c r="R23" i="49"/>
  <c r="S23" i="49"/>
  <c r="T23" i="49"/>
  <c r="U23" i="49"/>
  <c r="V23" i="49"/>
  <c r="Q24" i="49"/>
  <c r="R24" i="49"/>
  <c r="S24" i="49"/>
  <c r="T24" i="49"/>
  <c r="U24" i="49"/>
  <c r="V24" i="49"/>
  <c r="Q25" i="49"/>
  <c r="R25" i="49"/>
  <c r="S25" i="49"/>
  <c r="T25" i="49"/>
  <c r="U25" i="49"/>
  <c r="V25" i="49"/>
  <c r="Q26" i="49"/>
  <c r="R26" i="49"/>
  <c r="S26" i="49"/>
  <c r="T26" i="49"/>
  <c r="U26" i="49"/>
  <c r="V26" i="49"/>
  <c r="Q27" i="49"/>
  <c r="R27" i="49"/>
  <c r="S27" i="49"/>
  <c r="T27" i="49"/>
  <c r="U27" i="49"/>
  <c r="V27" i="49"/>
  <c r="Q28" i="49"/>
  <c r="R28" i="49"/>
  <c r="S28" i="49"/>
  <c r="T28" i="49"/>
  <c r="U28" i="49"/>
  <c r="V28" i="49"/>
  <c r="Q29" i="49"/>
  <c r="R29" i="49"/>
  <c r="S29" i="49"/>
  <c r="T29" i="49"/>
  <c r="U29" i="49"/>
  <c r="V29" i="49"/>
  <c r="Q30" i="49"/>
  <c r="R30" i="49"/>
  <c r="S30" i="49"/>
  <c r="T30" i="49"/>
  <c r="U30" i="49"/>
  <c r="V30" i="49"/>
  <c r="Q31" i="49"/>
  <c r="R31" i="49"/>
  <c r="S31" i="49"/>
  <c r="T31" i="49"/>
  <c r="U31" i="49"/>
  <c r="V31" i="49"/>
  <c r="Q32" i="49"/>
  <c r="R32" i="49"/>
  <c r="S32" i="49"/>
  <c r="T32" i="49"/>
  <c r="U32" i="49"/>
  <c r="V32" i="49"/>
  <c r="Q33" i="49"/>
  <c r="R33" i="49"/>
  <c r="S33" i="49"/>
  <c r="T33" i="49"/>
  <c r="U33" i="49"/>
  <c r="V33" i="49"/>
  <c r="Q34" i="49"/>
  <c r="R34" i="49"/>
  <c r="S34" i="49"/>
  <c r="T34" i="49"/>
  <c r="U34" i="49"/>
  <c r="V34" i="49"/>
  <c r="Q35" i="49"/>
  <c r="R35" i="49"/>
  <c r="S35" i="49"/>
  <c r="T35" i="49"/>
  <c r="U35" i="49"/>
  <c r="V35" i="49"/>
  <c r="Q36" i="49"/>
  <c r="R36" i="49"/>
  <c r="S36" i="49"/>
  <c r="T36" i="49"/>
  <c r="U36" i="49"/>
  <c r="V36" i="49"/>
  <c r="Q37" i="49"/>
  <c r="R37" i="49"/>
  <c r="S37" i="49"/>
  <c r="T37" i="49"/>
  <c r="U37" i="49"/>
  <c r="V37" i="49"/>
  <c r="Q38" i="49"/>
  <c r="R38" i="49"/>
  <c r="S38" i="49"/>
  <c r="T38" i="49"/>
  <c r="U38" i="49"/>
  <c r="V38" i="49"/>
  <c r="Q39" i="49"/>
  <c r="R39" i="49"/>
  <c r="S39" i="49"/>
  <c r="T39" i="49"/>
  <c r="U39" i="49"/>
  <c r="V39" i="49"/>
  <c r="Q40" i="49"/>
  <c r="R40" i="49"/>
  <c r="S40" i="49"/>
  <c r="T40" i="49"/>
  <c r="U40" i="49"/>
  <c r="V40" i="49"/>
  <c r="Q41" i="49"/>
  <c r="R41" i="49"/>
  <c r="S41" i="49"/>
  <c r="T41" i="49"/>
  <c r="U41" i="49"/>
  <c r="V41" i="49"/>
  <c r="Q42" i="49"/>
  <c r="R42" i="49"/>
  <c r="S42" i="49"/>
  <c r="T42" i="49"/>
  <c r="U42" i="49"/>
  <c r="V42" i="49"/>
  <c r="Q43" i="49"/>
  <c r="R43" i="49"/>
  <c r="S43" i="49"/>
  <c r="T43" i="49"/>
  <c r="U43" i="49"/>
  <c r="V43" i="49"/>
  <c r="Q44" i="49"/>
  <c r="R44" i="49"/>
  <c r="S44" i="49"/>
  <c r="T44" i="49"/>
  <c r="U44" i="49"/>
  <c r="V44" i="49"/>
  <c r="Q45" i="49"/>
  <c r="R45" i="49"/>
  <c r="S45" i="49"/>
  <c r="T45" i="49"/>
  <c r="U45" i="49"/>
  <c r="V45" i="49"/>
  <c r="Q46" i="49"/>
  <c r="R46" i="49"/>
  <c r="S46" i="49"/>
  <c r="T46" i="49"/>
  <c r="U46" i="49"/>
  <c r="V46" i="49"/>
  <c r="Q47" i="49"/>
  <c r="R47" i="49"/>
  <c r="S47" i="49"/>
  <c r="T47" i="49"/>
  <c r="U47" i="49"/>
  <c r="V47" i="49"/>
  <c r="Q48" i="49"/>
  <c r="R48" i="49"/>
  <c r="S48" i="49"/>
  <c r="T48" i="49"/>
  <c r="U48" i="49"/>
  <c r="V48" i="49"/>
  <c r="Q49" i="49"/>
  <c r="R49" i="49"/>
  <c r="S49" i="49"/>
  <c r="T49" i="49"/>
  <c r="U49" i="49"/>
  <c r="V49" i="49"/>
  <c r="Q50" i="49"/>
  <c r="R50" i="49"/>
  <c r="S50" i="49"/>
  <c r="T50" i="49"/>
  <c r="U50" i="49"/>
  <c r="V50" i="49"/>
  <c r="Q51" i="49"/>
  <c r="R51" i="49"/>
  <c r="S51" i="49"/>
  <c r="T51" i="49"/>
  <c r="U51" i="49"/>
  <c r="V51" i="49"/>
  <c r="Q52" i="49"/>
  <c r="R52" i="49"/>
  <c r="S52" i="49"/>
  <c r="T52" i="49"/>
  <c r="U52" i="49"/>
  <c r="V52" i="49"/>
  <c r="Q53" i="49"/>
  <c r="R53" i="49"/>
  <c r="S53" i="49"/>
  <c r="T53" i="49"/>
  <c r="U53" i="49"/>
  <c r="V53" i="49"/>
  <c r="Q54" i="49"/>
  <c r="R54" i="49"/>
  <c r="S54" i="49"/>
  <c r="T54" i="49"/>
  <c r="U54" i="49"/>
  <c r="V54" i="49"/>
  <c r="Q55" i="49"/>
  <c r="R55" i="49"/>
  <c r="S55" i="49"/>
  <c r="T55" i="49"/>
  <c r="U55" i="49"/>
  <c r="V55" i="49"/>
  <c r="Q56" i="49"/>
  <c r="R56" i="49"/>
  <c r="S56" i="49"/>
  <c r="T56" i="49"/>
  <c r="U56" i="49"/>
  <c r="V56" i="49"/>
  <c r="Q57" i="49"/>
  <c r="R57" i="49"/>
  <c r="S57" i="49"/>
  <c r="T57" i="49"/>
  <c r="U57" i="49"/>
  <c r="V57" i="49"/>
  <c r="Q58" i="49"/>
  <c r="R58" i="49"/>
  <c r="S58" i="49"/>
  <c r="T58" i="49"/>
  <c r="U58" i="49"/>
  <c r="V58" i="49"/>
  <c r="I14" i="34" l="1"/>
  <c r="I13" i="34"/>
  <c r="I12" i="34"/>
  <c r="I7" i="49" l="1"/>
  <c r="I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R8" i="49"/>
  <c r="Q8" i="49"/>
  <c r="F7" i="49"/>
  <c r="H11" i="37"/>
  <c r="S8" i="49" l="1"/>
  <c r="R9" i="49"/>
  <c r="R10" i="49"/>
  <c r="R14" i="49"/>
  <c r="R12" i="49"/>
  <c r="R16" i="49"/>
  <c r="R11" i="49"/>
  <c r="R15" i="49"/>
  <c r="R13" i="49"/>
  <c r="T8" i="49"/>
  <c r="T11" i="49" l="1"/>
  <c r="T15" i="49"/>
  <c r="T13" i="49"/>
  <c r="T12" i="49"/>
  <c r="T16" i="49"/>
  <c r="T9" i="49"/>
  <c r="T10" i="49"/>
  <c r="T14" i="49"/>
  <c r="U8" i="49"/>
  <c r="V8" i="49" l="1"/>
  <c r="V9" i="49" l="1"/>
  <c r="V12" i="49"/>
  <c r="V16" i="49"/>
  <c r="V10" i="49"/>
  <c r="V14" i="49"/>
  <c r="V13" i="49"/>
  <c r="V11" i="49"/>
  <c r="V15" i="49"/>
  <c r="E34" i="23"/>
  <c r="E49" i="23"/>
  <c r="E65" i="23"/>
  <c r="E81" i="23"/>
  <c r="E97" i="23"/>
  <c r="E114" i="23"/>
  <c r="E130" i="23"/>
  <c r="E147" i="23"/>
  <c r="E19" i="23"/>
  <c r="C71" i="34"/>
  <c r="D71" i="34"/>
  <c r="E71" i="34"/>
  <c r="F71" i="34"/>
  <c r="G71" i="34"/>
  <c r="B71" i="34"/>
  <c r="B31" i="13"/>
  <c r="D25" i="15"/>
  <c r="D26" i="15"/>
  <c r="D27" i="15"/>
  <c r="D28" i="15"/>
  <c r="D29" i="15"/>
  <c r="D30" i="15"/>
  <c r="D31" i="15"/>
  <c r="D32" i="15"/>
  <c r="B11" i="11"/>
  <c r="B50" i="47"/>
  <c r="B58" i="42"/>
  <c r="B28" i="47"/>
  <c r="A2" i="47"/>
  <c r="A1" i="47"/>
  <c r="B28" i="42"/>
  <c r="B29" i="42"/>
  <c r="B30" i="42"/>
  <c r="B31" i="42"/>
  <c r="B32" i="42"/>
  <c r="B27" i="42"/>
  <c r="A48" i="34"/>
  <c r="C48" i="34" s="1"/>
  <c r="A49" i="34"/>
  <c r="C49" i="34" s="1"/>
  <c r="A50" i="34"/>
  <c r="B50" i="34" s="1"/>
  <c r="G50" i="34" s="1"/>
  <c r="A51" i="34"/>
  <c r="C51" i="34" s="1"/>
  <c r="A52" i="34"/>
  <c r="E52" i="34" s="1"/>
  <c r="A53" i="34"/>
  <c r="B53" i="34" s="1"/>
  <c r="G53" i="34" s="1"/>
  <c r="A37" i="34"/>
  <c r="A10" i="34"/>
  <c r="A11" i="34"/>
  <c r="A33" i="34"/>
  <c r="C33" i="34" s="1"/>
  <c r="A29" i="34"/>
  <c r="C29" i="34" s="1"/>
  <c r="A30" i="34"/>
  <c r="E30" i="34" s="1"/>
  <c r="A31" i="34"/>
  <c r="G31" i="34" s="1"/>
  <c r="A32" i="34"/>
  <c r="B32" i="34" s="1"/>
  <c r="A28" i="34"/>
  <c r="C2" i="9"/>
  <c r="A27" i="34" s="1"/>
  <c r="D8" i="30"/>
  <c r="E8" i="30"/>
  <c r="F8" i="30"/>
  <c r="G8" i="30"/>
  <c r="H8" i="30"/>
  <c r="D160" i="23"/>
  <c r="D143" i="23"/>
  <c r="D127" i="23"/>
  <c r="D110" i="23"/>
  <c r="D94" i="23"/>
  <c r="D78" i="23"/>
  <c r="D62" i="23"/>
  <c r="D47" i="23"/>
  <c r="D32" i="23"/>
  <c r="D17" i="23"/>
  <c r="D8" i="23"/>
  <c r="D9" i="23"/>
  <c r="E9" i="23" s="1"/>
  <c r="E50" i="34" l="1"/>
  <c r="D50" i="34"/>
  <c r="E49" i="34"/>
  <c r="B49" i="34"/>
  <c r="G49" i="34" s="1"/>
  <c r="D53" i="34"/>
  <c r="C53" i="34"/>
  <c r="B33" i="34"/>
  <c r="D33" i="34"/>
  <c r="B29" i="34"/>
  <c r="F49" i="34"/>
  <c r="D52" i="34"/>
  <c r="B51" i="34"/>
  <c r="G51" i="34" s="1"/>
  <c r="B48" i="34"/>
  <c r="G48" i="34" s="1"/>
  <c r="F31" i="34"/>
  <c r="F53" i="34"/>
  <c r="C52" i="34"/>
  <c r="D49" i="34"/>
  <c r="E31" i="34"/>
  <c r="E53" i="34"/>
  <c r="B52" i="34"/>
  <c r="G52" i="34" s="1"/>
  <c r="F50" i="34"/>
  <c r="F51" i="34"/>
  <c r="F48" i="34"/>
  <c r="E51" i="34"/>
  <c r="C50" i="34"/>
  <c r="E48" i="34"/>
  <c r="F52" i="34"/>
  <c r="D51" i="34"/>
  <c r="D48" i="34"/>
  <c r="D30" i="34"/>
  <c r="F32" i="34"/>
  <c r="D31" i="34"/>
  <c r="B30" i="34"/>
  <c r="G33" i="34"/>
  <c r="E32" i="34"/>
  <c r="C31" i="34"/>
  <c r="G29" i="34"/>
  <c r="F33" i="34"/>
  <c r="D32" i="34"/>
  <c r="B31" i="34"/>
  <c r="F29" i="34"/>
  <c r="G32" i="34"/>
  <c r="C30" i="34"/>
  <c r="E33" i="34"/>
  <c r="C32" i="34"/>
  <c r="G30" i="34"/>
  <c r="E29" i="34"/>
  <c r="F30" i="34"/>
  <c r="D29" i="34"/>
  <c r="B18" i="22" l="1"/>
  <c r="B19" i="22"/>
  <c r="B20" i="22"/>
  <c r="B21" i="22"/>
  <c r="B22" i="22"/>
  <c r="B23" i="22"/>
  <c r="B24" i="22"/>
  <c r="B25" i="22"/>
  <c r="B26" i="22"/>
  <c r="B27" i="22"/>
  <c r="B28" i="22"/>
  <c r="B29" i="22"/>
  <c r="B30" i="22"/>
  <c r="B31" i="22"/>
  <c r="B32" i="22"/>
  <c r="B33" i="22"/>
  <c r="B34" i="22"/>
  <c r="B35" i="22"/>
  <c r="B36" i="22"/>
  <c r="B37" i="22"/>
  <c r="B38" i="22"/>
  <c r="B13" i="11" l="1"/>
  <c r="B16" i="11"/>
  <c r="B15" i="11"/>
  <c r="B14" i="11"/>
  <c r="I8" i="1" l="1"/>
  <c r="N12" i="33"/>
  <c r="O12" i="33"/>
  <c r="P12" i="33"/>
  <c r="Q12" i="33"/>
  <c r="R12" i="33"/>
  <c r="S12" i="33"/>
  <c r="N13" i="33"/>
  <c r="O13" i="33"/>
  <c r="P13" i="33"/>
  <c r="Q13" i="33"/>
  <c r="R13" i="33"/>
  <c r="S13" i="33"/>
  <c r="N14" i="33"/>
  <c r="O14" i="33"/>
  <c r="P14" i="33"/>
  <c r="Q14" i="33"/>
  <c r="R14" i="33"/>
  <c r="S14" i="33"/>
  <c r="N15" i="33"/>
  <c r="O15" i="33"/>
  <c r="P15" i="33"/>
  <c r="Q15" i="33"/>
  <c r="R15" i="33"/>
  <c r="S15" i="33"/>
  <c r="N16" i="33"/>
  <c r="O16" i="33"/>
  <c r="P16" i="33"/>
  <c r="Q16" i="33"/>
  <c r="R16" i="33"/>
  <c r="S16" i="33"/>
  <c r="N17" i="33"/>
  <c r="O17" i="33"/>
  <c r="P17" i="33"/>
  <c r="Q17" i="33"/>
  <c r="R17" i="33"/>
  <c r="S17" i="33"/>
  <c r="N18" i="33"/>
  <c r="O18" i="33"/>
  <c r="P18" i="33"/>
  <c r="Q18" i="33"/>
  <c r="R18" i="33"/>
  <c r="S18" i="33"/>
  <c r="N19" i="33"/>
  <c r="O19" i="33"/>
  <c r="P19" i="33"/>
  <c r="Q19" i="33"/>
  <c r="R19" i="33"/>
  <c r="S19" i="33"/>
  <c r="N20" i="33"/>
  <c r="O20" i="33"/>
  <c r="P20" i="33"/>
  <c r="Q20" i="33"/>
  <c r="R20" i="33"/>
  <c r="S20" i="33"/>
  <c r="N21" i="33"/>
  <c r="O21" i="33"/>
  <c r="P21" i="33"/>
  <c r="Q21" i="33"/>
  <c r="R21" i="33"/>
  <c r="S21" i="33"/>
  <c r="N22" i="33"/>
  <c r="O22" i="33"/>
  <c r="P22" i="33"/>
  <c r="Q22" i="33"/>
  <c r="R22" i="33"/>
  <c r="S22" i="33"/>
  <c r="N23" i="33"/>
  <c r="O23" i="33"/>
  <c r="P23" i="33"/>
  <c r="Q23" i="33"/>
  <c r="R23" i="33"/>
  <c r="S23" i="33"/>
  <c r="D3" i="9"/>
  <c r="D2" i="9"/>
  <c r="J18" i="15"/>
  <c r="J17" i="15"/>
  <c r="J16" i="15"/>
  <c r="J15" i="15"/>
  <c r="J14" i="15"/>
  <c r="J13" i="15"/>
  <c r="J12" i="15"/>
  <c r="J11" i="15"/>
  <c r="D9" i="13"/>
  <c r="E3" i="47" s="1"/>
  <c r="C14" i="34" l="1"/>
  <c r="D14" i="34"/>
  <c r="E14" i="34"/>
  <c r="F14" i="34"/>
  <c r="G14" i="34"/>
  <c r="B14" i="34"/>
  <c r="A16" i="34"/>
  <c r="A1" i="40"/>
  <c r="B80" i="30"/>
  <c r="B79" i="30"/>
  <c r="B78" i="30"/>
  <c r="B77" i="30"/>
  <c r="B76" i="30"/>
  <c r="B69" i="30"/>
  <c r="B68" i="30"/>
  <c r="B67" i="30"/>
  <c r="B66" i="30"/>
  <c r="B65" i="30"/>
  <c r="B58" i="30"/>
  <c r="B57" i="30"/>
  <c r="B56" i="30"/>
  <c r="B55" i="30"/>
  <c r="B54" i="30"/>
  <c r="B47" i="30"/>
  <c r="B46" i="30"/>
  <c r="B45" i="30"/>
  <c r="B44" i="30"/>
  <c r="B43" i="30"/>
  <c r="B25" i="30"/>
  <c r="B24" i="30"/>
  <c r="B23" i="30"/>
  <c r="B22" i="30"/>
  <c r="B21" i="30"/>
  <c r="B14" i="30"/>
  <c r="B13" i="30"/>
  <c r="B12" i="30"/>
  <c r="B11" i="30"/>
  <c r="B10" i="30"/>
  <c r="B35" i="30"/>
  <c r="B33" i="30"/>
  <c r="B32" i="30"/>
  <c r="B57" i="42"/>
  <c r="A1" i="42"/>
  <c r="P11" i="2"/>
  <c r="P12" i="2"/>
  <c r="P13" i="2"/>
  <c r="P14" i="2"/>
  <c r="P15" i="2"/>
  <c r="P16" i="2"/>
  <c r="P17" i="2"/>
  <c r="F6" i="15"/>
  <c r="B4" i="46"/>
  <c r="B97" i="42" l="1"/>
  <c r="B81" i="42"/>
  <c r="B77" i="42"/>
  <c r="B76" i="42"/>
  <c r="B75" i="42"/>
  <c r="B63" i="42"/>
  <c r="D60" i="42"/>
  <c r="E60" i="42"/>
  <c r="F60" i="42"/>
  <c r="G60" i="42"/>
  <c r="H60" i="42"/>
  <c r="B60" i="42"/>
  <c r="B51" i="42"/>
  <c r="B46" i="42"/>
  <c r="B112" i="30"/>
  <c r="B111" i="30"/>
  <c r="B110" i="30"/>
  <c r="B109" i="30"/>
  <c r="B108" i="30"/>
  <c r="B107" i="30"/>
  <c r="B106" i="30"/>
  <c r="B22" i="42"/>
  <c r="B21" i="42"/>
  <c r="B20" i="42"/>
  <c r="B19" i="42"/>
  <c r="B18" i="42"/>
  <c r="B17" i="42"/>
  <c r="B16" i="42"/>
  <c r="B10" i="42"/>
  <c r="D6" i="42"/>
  <c r="E6" i="42" s="1"/>
  <c r="F6" i="42" s="1"/>
  <c r="G6" i="42" s="1"/>
  <c r="H6" i="42" s="1"/>
  <c r="C6" i="42"/>
  <c r="L4" i="41"/>
  <c r="D8" i="41"/>
  <c r="B9" i="41"/>
  <c r="D9" i="41"/>
  <c r="B10" i="41"/>
  <c r="D10" i="41"/>
  <c r="B11" i="41"/>
  <c r="D11" i="41"/>
  <c r="B12" i="41"/>
  <c r="D12" i="41"/>
  <c r="B13" i="41"/>
  <c r="D13" i="41"/>
  <c r="B14" i="41"/>
  <c r="D14" i="41"/>
  <c r="B15" i="41"/>
  <c r="D15" i="41"/>
  <c r="B16" i="41"/>
  <c r="D16" i="41"/>
  <c r="B17" i="41"/>
  <c r="D17" i="41"/>
  <c r="B18" i="41"/>
  <c r="D18" i="41"/>
  <c r="B19" i="41"/>
  <c r="D19" i="41"/>
  <c r="B20" i="41"/>
  <c r="D20" i="41"/>
  <c r="B21" i="41"/>
  <c r="D21" i="41"/>
  <c r="B22" i="41"/>
  <c r="D22" i="41"/>
  <c r="B23" i="41"/>
  <c r="D23" i="41"/>
  <c r="B24" i="41"/>
  <c r="D24" i="41"/>
  <c r="B25" i="41"/>
  <c r="D25" i="41"/>
  <c r="B26" i="41"/>
  <c r="D26" i="41"/>
  <c r="B27" i="41"/>
  <c r="D27" i="41"/>
  <c r="B28" i="41"/>
  <c r="D28" i="41"/>
  <c r="B29" i="41"/>
  <c r="D29" i="41"/>
  <c r="B30" i="41"/>
  <c r="D30" i="41"/>
  <c r="B31" i="41"/>
  <c r="D31" i="41"/>
  <c r="B32" i="41"/>
  <c r="D32" i="41"/>
  <c r="B33" i="41"/>
  <c r="D33" i="41"/>
  <c r="B34" i="41"/>
  <c r="D34" i="41"/>
  <c r="B35" i="41"/>
  <c r="D35" i="41"/>
  <c r="B36" i="41"/>
  <c r="D36" i="41"/>
  <c r="B37" i="41"/>
  <c r="D37" i="41"/>
  <c r="B38" i="41"/>
  <c r="D38" i="41"/>
  <c r="B39" i="41"/>
  <c r="D39" i="41"/>
  <c r="B40" i="41"/>
  <c r="D40" i="41"/>
  <c r="B41" i="41"/>
  <c r="D41" i="41"/>
  <c r="B42" i="41"/>
  <c r="D42" i="41"/>
  <c r="B43" i="41"/>
  <c r="D43" i="41"/>
  <c r="B44" i="41"/>
  <c r="D44" i="41"/>
  <c r="B45" i="41"/>
  <c r="D45" i="41"/>
  <c r="B46" i="41"/>
  <c r="D46" i="41"/>
  <c r="B47" i="41"/>
  <c r="D47" i="41"/>
  <c r="B48" i="41"/>
  <c r="D48" i="41"/>
  <c r="B49" i="41"/>
  <c r="D49" i="41"/>
  <c r="B50" i="41"/>
  <c r="D50" i="41"/>
  <c r="B51" i="41"/>
  <c r="D51" i="41"/>
  <c r="B52" i="41"/>
  <c r="D52" i="41"/>
  <c r="B53" i="41"/>
  <c r="D53" i="41"/>
  <c r="B54" i="41"/>
  <c r="D54" i="41"/>
  <c r="B55" i="41"/>
  <c r="D55" i="41"/>
  <c r="B56" i="41"/>
  <c r="D56" i="41"/>
  <c r="B57" i="41"/>
  <c r="D57" i="41"/>
  <c r="B58" i="41"/>
  <c r="D58" i="41"/>
  <c r="B59" i="41"/>
  <c r="D59" i="41"/>
  <c r="B60" i="41"/>
  <c r="D60" i="41"/>
  <c r="B61" i="41"/>
  <c r="D61" i="41"/>
  <c r="B62" i="41"/>
  <c r="D62" i="41"/>
  <c r="B63" i="41"/>
  <c r="D63" i="41"/>
  <c r="B64" i="41"/>
  <c r="D64" i="41"/>
  <c r="B65" i="41"/>
  <c r="D65" i="41"/>
  <c r="B66" i="41"/>
  <c r="D66" i="41"/>
  <c r="B67" i="41"/>
  <c r="D67" i="41"/>
  <c r="B68" i="41"/>
  <c r="D68" i="41"/>
  <c r="B69" i="41"/>
  <c r="D69" i="41"/>
  <c r="B70" i="41"/>
  <c r="D70" i="41"/>
  <c r="B71" i="41"/>
  <c r="D71" i="41"/>
  <c r="B72" i="41"/>
  <c r="D72" i="41"/>
  <c r="B73" i="41"/>
  <c r="D73" i="41"/>
  <c r="B74" i="41"/>
  <c r="D74" i="41"/>
  <c r="B75" i="41"/>
  <c r="D75" i="41"/>
  <c r="B76" i="41"/>
  <c r="D76" i="41"/>
  <c r="B77" i="41"/>
  <c r="D77" i="41"/>
  <c r="B78" i="41"/>
  <c r="D78" i="41"/>
  <c r="B79" i="41"/>
  <c r="D79" i="41"/>
  <c r="B80" i="41"/>
  <c r="D80" i="41"/>
  <c r="B81" i="41"/>
  <c r="D81" i="41"/>
  <c r="B82" i="41"/>
  <c r="D82" i="41"/>
  <c r="B83" i="41"/>
  <c r="D83" i="41"/>
  <c r="B84" i="41"/>
  <c r="D84" i="41"/>
  <c r="B85" i="41"/>
  <c r="D85" i="41"/>
  <c r="B86" i="41"/>
  <c r="D86" i="41"/>
  <c r="B87" i="41"/>
  <c r="D87" i="41"/>
  <c r="B88" i="41"/>
  <c r="D88" i="41"/>
  <c r="B89" i="41"/>
  <c r="D89" i="41"/>
  <c r="B90" i="41"/>
  <c r="D90" i="41"/>
  <c r="B91" i="41"/>
  <c r="D91" i="41"/>
  <c r="B92" i="41"/>
  <c r="D92" i="41"/>
  <c r="B93" i="41"/>
  <c r="D93" i="41"/>
  <c r="B94" i="41"/>
  <c r="D94" i="41"/>
  <c r="B95" i="41"/>
  <c r="D95" i="41"/>
  <c r="B96" i="41"/>
  <c r="D96" i="41"/>
  <c r="B97" i="41"/>
  <c r="D97" i="41"/>
  <c r="B98" i="41"/>
  <c r="D98" i="41"/>
  <c r="B99" i="41"/>
  <c r="D99" i="41"/>
  <c r="B100" i="41"/>
  <c r="D100" i="41"/>
  <c r="B101" i="41"/>
  <c r="D101" i="41"/>
  <c r="B102" i="41"/>
  <c r="D102" i="41"/>
  <c r="B103" i="41"/>
  <c r="D103" i="41"/>
  <c r="B104" i="41"/>
  <c r="D104" i="41"/>
  <c r="B105" i="41"/>
  <c r="D105" i="41"/>
  <c r="B106" i="41"/>
  <c r="D106" i="41"/>
  <c r="L1" i="42"/>
  <c r="G30" i="42" l="1"/>
  <c r="C32" i="42"/>
  <c r="F27" i="42"/>
  <c r="H30" i="42"/>
  <c r="D32" i="42"/>
  <c r="G27" i="42"/>
  <c r="G31" i="42"/>
  <c r="E27" i="42"/>
  <c r="C31" i="42"/>
  <c r="E32" i="42"/>
  <c r="H27" i="42"/>
  <c r="F30" i="42"/>
  <c r="D31" i="42"/>
  <c r="F32" i="42"/>
  <c r="C27" i="42"/>
  <c r="D27" i="42"/>
  <c r="C30" i="42"/>
  <c r="E31" i="42"/>
  <c r="G32" i="42"/>
  <c r="E30" i="42"/>
  <c r="H31" i="42"/>
  <c r="D30" i="42"/>
  <c r="F31" i="42"/>
  <c r="H32" i="42"/>
  <c r="F42" i="42"/>
  <c r="E42" i="42"/>
  <c r="D42" i="42"/>
  <c r="C42" i="42"/>
  <c r="H42" i="42"/>
  <c r="G42" i="42"/>
  <c r="A405" i="40" l="1"/>
  <c r="D7" i="41"/>
  <c r="B7" i="41"/>
  <c r="M5" i="41"/>
  <c r="N5" i="41" s="1"/>
  <c r="O5" i="41" s="1"/>
  <c r="P5" i="41" s="1"/>
  <c r="Q5" i="41" s="1"/>
  <c r="L5" i="41"/>
  <c r="F5" i="41"/>
  <c r="G5" i="41" s="1"/>
  <c r="H5" i="41" s="1"/>
  <c r="I5" i="41" s="1"/>
  <c r="J5" i="41" s="1"/>
  <c r="E5" i="41"/>
  <c r="H5" i="37"/>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B106" i="39"/>
  <c r="C106" i="39"/>
  <c r="D106" i="39"/>
  <c r="E106" i="39"/>
  <c r="B107" i="39"/>
  <c r="C107" i="39"/>
  <c r="D107" i="39"/>
  <c r="E107" i="39"/>
  <c r="B108" i="39"/>
  <c r="C108" i="39"/>
  <c r="D108" i="39"/>
  <c r="E10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16" i="39"/>
  <c r="E17" i="39"/>
  <c r="E18" i="39"/>
  <c r="M106" i="39"/>
  <c r="AO106" i="39" s="1"/>
  <c r="N106" i="39"/>
  <c r="AP106" i="39" s="1"/>
  <c r="O106" i="39"/>
  <c r="H106" i="39" s="1"/>
  <c r="P106" i="39"/>
  <c r="I106" i="39" s="1"/>
  <c r="Q106" i="39"/>
  <c r="R106" i="39"/>
  <c r="T106" i="39"/>
  <c r="U106" i="39"/>
  <c r="V106" i="39"/>
  <c r="W106" i="39"/>
  <c r="X106" i="39"/>
  <c r="Y106" i="39"/>
  <c r="AA106" i="39"/>
  <c r="AB106" i="39"/>
  <c r="AC106" i="39"/>
  <c r="AD106" i="39"/>
  <c r="AE106" i="39"/>
  <c r="AF106" i="39"/>
  <c r="AV106" i="39"/>
  <c r="AW106" i="39"/>
  <c r="AY106" i="39"/>
  <c r="AZ106" i="39"/>
  <c r="BA106" i="39"/>
  <c r="M107" i="39"/>
  <c r="N107" i="39"/>
  <c r="O107" i="39"/>
  <c r="P107" i="39"/>
  <c r="Q107" i="39"/>
  <c r="R107" i="39"/>
  <c r="M108" i="39"/>
  <c r="AO108" i="39" s="1"/>
  <c r="N108" i="39"/>
  <c r="G108" i="39" s="1"/>
  <c r="AI108" i="39" s="1"/>
  <c r="O108" i="39"/>
  <c r="H108" i="39" s="1"/>
  <c r="P108" i="39"/>
  <c r="I108" i="39" s="1"/>
  <c r="Q108" i="39"/>
  <c r="R108" i="39"/>
  <c r="T108" i="39"/>
  <c r="U108" i="39"/>
  <c r="V108" i="39"/>
  <c r="W108" i="39"/>
  <c r="X108" i="39"/>
  <c r="Y108" i="39"/>
  <c r="BA108" i="39" s="1"/>
  <c r="AA108" i="39"/>
  <c r="AB108" i="39"/>
  <c r="AC108" i="39"/>
  <c r="AD108" i="39"/>
  <c r="AE108" i="39"/>
  <c r="AF108" i="39"/>
  <c r="AV108" i="39"/>
  <c r="AW108" i="39"/>
  <c r="AY108" i="39"/>
  <c r="BD5" i="39"/>
  <c r="BE5" i="39" s="1"/>
  <c r="BF5" i="39" s="1"/>
  <c r="BG5" i="39" s="1"/>
  <c r="BH5" i="39" s="1"/>
  <c r="BC5" i="39"/>
  <c r="AW5" i="39"/>
  <c r="AX5" i="39" s="1"/>
  <c r="AY5" i="39" s="1"/>
  <c r="AZ5" i="39" s="1"/>
  <c r="BA5" i="39" s="1"/>
  <c r="AV5" i="39"/>
  <c r="AP5" i="39"/>
  <c r="AQ5" i="39" s="1"/>
  <c r="AR5" i="39" s="1"/>
  <c r="AS5" i="39" s="1"/>
  <c r="AT5" i="39" s="1"/>
  <c r="AO5" i="39"/>
  <c r="AI5" i="39"/>
  <c r="AJ5" i="39" s="1"/>
  <c r="AK5" i="39" s="1"/>
  <c r="AL5" i="39" s="1"/>
  <c r="AM5" i="39" s="1"/>
  <c r="AH5" i="39"/>
  <c r="AB5" i="39"/>
  <c r="AC5" i="39" s="1"/>
  <c r="AD5" i="39" s="1"/>
  <c r="AE5" i="39" s="1"/>
  <c r="AF5" i="39" s="1"/>
  <c r="AA5" i="39"/>
  <c r="K106" i="39" l="1"/>
  <c r="AM106" i="39" s="1"/>
  <c r="AS106" i="39"/>
  <c r="AP108" i="39"/>
  <c r="AK106" i="39"/>
  <c r="F108" i="39"/>
  <c r="AH108" i="39" s="1"/>
  <c r="AR106" i="39"/>
  <c r="AQ106" i="39"/>
  <c r="G106" i="39"/>
  <c r="AI106" i="39" s="1"/>
  <c r="AQ108" i="39"/>
  <c r="AT106" i="39"/>
  <c r="F106" i="39"/>
  <c r="AH106" i="39" s="1"/>
  <c r="J108" i="39"/>
  <c r="AL108" i="39" s="1"/>
  <c r="AT108" i="39"/>
  <c r="AS108" i="39"/>
  <c r="AR108" i="39"/>
  <c r="AK108" i="39"/>
  <c r="J106" i="39"/>
  <c r="AL106" i="39" s="1"/>
  <c r="AJ106" i="39"/>
  <c r="AJ108" i="39"/>
  <c r="AX108" i="39"/>
  <c r="AX106" i="39"/>
  <c r="K108" i="39"/>
  <c r="AM108" i="39" s="1"/>
  <c r="AZ108" i="39"/>
  <c r="U5" i="39" l="1"/>
  <c r="V5" i="39" s="1"/>
  <c r="W5" i="39" s="1"/>
  <c r="X5" i="39" s="1"/>
  <c r="Y5" i="39" s="1"/>
  <c r="T5" i="39"/>
  <c r="B102" i="30" l="1"/>
  <c r="B101" i="30"/>
  <c r="B100" i="30"/>
  <c r="B99" i="30"/>
  <c r="B98" i="30"/>
  <c r="B97" i="30"/>
  <c r="B96" i="30"/>
  <c r="C30" i="30"/>
  <c r="C41" i="30"/>
  <c r="C52" i="30"/>
  <c r="C74" i="30"/>
  <c r="C19" i="30"/>
  <c r="C8" i="30"/>
  <c r="B90" i="30"/>
  <c r="B89" i="30"/>
  <c r="B88" i="30"/>
  <c r="B87" i="30"/>
  <c r="B86" i="30"/>
  <c r="C77" i="30"/>
  <c r="C102" i="30" s="1"/>
  <c r="C66" i="30"/>
  <c r="C101" i="30" s="1"/>
  <c r="D63" i="30"/>
  <c r="E63" i="30"/>
  <c r="F63" i="30"/>
  <c r="G63" i="30"/>
  <c r="H63" i="30"/>
  <c r="C63" i="30"/>
  <c r="C55" i="30"/>
  <c r="C100" i="30" s="1"/>
  <c r="D52" i="30"/>
  <c r="E52" i="30"/>
  <c r="F52" i="30"/>
  <c r="G52" i="30"/>
  <c r="H52" i="30"/>
  <c r="B72" i="30"/>
  <c r="H74" i="30"/>
  <c r="G74" i="30"/>
  <c r="F74" i="30"/>
  <c r="E74" i="30"/>
  <c r="D74" i="30"/>
  <c r="B61" i="30"/>
  <c r="B50" i="30"/>
  <c r="C44" i="30"/>
  <c r="C99" i="30" s="1"/>
  <c r="D41" i="30"/>
  <c r="E41" i="30"/>
  <c r="F41" i="30"/>
  <c r="G41" i="30"/>
  <c r="H41" i="30"/>
  <c r="B34" i="30"/>
  <c r="B36" i="30"/>
  <c r="B39" i="30"/>
  <c r="C33" i="30"/>
  <c r="C98" i="30" s="1"/>
  <c r="D30" i="30"/>
  <c r="E30" i="30"/>
  <c r="F30" i="30"/>
  <c r="G30" i="30"/>
  <c r="H30" i="30"/>
  <c r="B17" i="30"/>
  <c r="D19" i="30"/>
  <c r="E19" i="30"/>
  <c r="F19" i="30"/>
  <c r="G19" i="30"/>
  <c r="H19" i="30"/>
  <c r="B28" i="30"/>
  <c r="C22" i="30"/>
  <c r="C97" i="30" s="1"/>
  <c r="C11" i="30"/>
  <c r="G31" i="30" l="1"/>
  <c r="H31" i="30"/>
  <c r="C31" i="30"/>
  <c r="D31" i="30"/>
  <c r="F31" i="30"/>
  <c r="E31" i="30"/>
  <c r="D64" i="30"/>
  <c r="F64" i="30"/>
  <c r="C64" i="30"/>
  <c r="E64" i="30"/>
  <c r="H64" i="30"/>
  <c r="G64" i="30"/>
  <c r="E42" i="30"/>
  <c r="F42" i="30"/>
  <c r="G42" i="30"/>
  <c r="H42" i="30"/>
  <c r="D42" i="30"/>
  <c r="C42" i="30"/>
  <c r="G75" i="30"/>
  <c r="H75" i="30"/>
  <c r="D75" i="30"/>
  <c r="F75" i="30"/>
  <c r="C75" i="30"/>
  <c r="E75" i="30"/>
  <c r="G53" i="30"/>
  <c r="H53" i="30"/>
  <c r="C53" i="30"/>
  <c r="F53" i="30"/>
  <c r="E53" i="30"/>
  <c r="D53" i="30"/>
  <c r="I6" i="1"/>
  <c r="J6" i="15"/>
  <c r="V85" i="40"/>
  <c r="U85" i="40"/>
  <c r="V84" i="40"/>
  <c r="U84" i="40"/>
  <c r="V83" i="40"/>
  <c r="U83" i="40"/>
  <c r="V82" i="40"/>
  <c r="U82" i="40"/>
  <c r="V81" i="40"/>
  <c r="U81" i="40"/>
  <c r="V80" i="40"/>
  <c r="U80" i="40"/>
  <c r="V79" i="40"/>
  <c r="U79" i="40"/>
  <c r="V78" i="40"/>
  <c r="U78" i="40"/>
  <c r="V77" i="40"/>
  <c r="U77" i="40"/>
  <c r="V76" i="40"/>
  <c r="U76" i="40"/>
  <c r="V75" i="40"/>
  <c r="U75" i="40"/>
  <c r="V74" i="40"/>
  <c r="U74" i="40"/>
  <c r="V73" i="40"/>
  <c r="U73" i="40"/>
  <c r="V72" i="40"/>
  <c r="U72" i="40"/>
  <c r="V71" i="40"/>
  <c r="U71" i="40"/>
  <c r="V70" i="40"/>
  <c r="U70" i="40"/>
  <c r="V69" i="40"/>
  <c r="U69" i="40"/>
  <c r="V68" i="40"/>
  <c r="U68" i="40"/>
  <c r="V67" i="40"/>
  <c r="U67" i="40"/>
  <c r="V66" i="40"/>
  <c r="U66" i="40"/>
  <c r="V65" i="40"/>
  <c r="U65" i="40"/>
  <c r="V64" i="40"/>
  <c r="U64" i="40"/>
  <c r="V63" i="40"/>
  <c r="U63" i="40"/>
  <c r="V62" i="40"/>
  <c r="U62" i="40"/>
  <c r="V61" i="40"/>
  <c r="U61" i="40"/>
  <c r="V60" i="40"/>
  <c r="U60" i="40"/>
  <c r="V59" i="40"/>
  <c r="U59" i="40"/>
  <c r="V58" i="40"/>
  <c r="U58" i="40"/>
  <c r="V57" i="40"/>
  <c r="U57" i="40"/>
  <c r="V56" i="40"/>
  <c r="U56" i="40"/>
  <c r="V55" i="40"/>
  <c r="U55" i="40"/>
  <c r="V54" i="40"/>
  <c r="U54" i="40"/>
  <c r="V53" i="40"/>
  <c r="U53" i="40"/>
  <c r="V52" i="40"/>
  <c r="U52" i="40"/>
  <c r="V51" i="40"/>
  <c r="U51" i="40"/>
  <c r="V50" i="40"/>
  <c r="U50" i="40"/>
  <c r="V49" i="40"/>
  <c r="U49" i="40"/>
  <c r="V48" i="40"/>
  <c r="U48" i="40"/>
  <c r="V47" i="40"/>
  <c r="U47" i="40"/>
  <c r="V46" i="40"/>
  <c r="U46" i="40"/>
  <c r="V45" i="40"/>
  <c r="U45" i="40"/>
  <c r="V44" i="40"/>
  <c r="U44" i="40"/>
  <c r="V43" i="40"/>
  <c r="U43" i="40"/>
  <c r="V42" i="40"/>
  <c r="U42" i="40"/>
  <c r="V41" i="40"/>
  <c r="U41" i="40"/>
  <c r="V40" i="40"/>
  <c r="U40" i="40"/>
  <c r="V39" i="40"/>
  <c r="U39" i="40"/>
  <c r="V38" i="40"/>
  <c r="U38" i="40"/>
  <c r="U32" i="40"/>
  <c r="V32" i="40"/>
  <c r="U33" i="40"/>
  <c r="V33" i="40"/>
  <c r="U34" i="40"/>
  <c r="V34" i="40"/>
  <c r="U35" i="40"/>
  <c r="V35" i="40"/>
  <c r="U36" i="40"/>
  <c r="V36" i="40"/>
  <c r="U37" i="40"/>
  <c r="V37" i="40"/>
  <c r="V31" i="40"/>
  <c r="U31" i="40"/>
  <c r="V30" i="40"/>
  <c r="U30" i="40"/>
  <c r="U29" i="40"/>
  <c r="V29" i="40"/>
  <c r="U24" i="40"/>
  <c r="V24" i="40"/>
  <c r="U25" i="40"/>
  <c r="V25" i="40"/>
  <c r="U26" i="40"/>
  <c r="V26" i="40"/>
  <c r="U27" i="40"/>
  <c r="V27" i="40"/>
  <c r="U28" i="40"/>
  <c r="V28" i="40"/>
  <c r="V23" i="40"/>
  <c r="U23" i="40"/>
  <c r="V22" i="40"/>
  <c r="U22" i="40"/>
  <c r="U16" i="40"/>
  <c r="V16" i="40"/>
  <c r="U17" i="40"/>
  <c r="V17" i="40"/>
  <c r="U18" i="40"/>
  <c r="V18" i="40"/>
  <c r="U19" i="40"/>
  <c r="V19" i="40"/>
  <c r="U20" i="40"/>
  <c r="V20" i="40"/>
  <c r="U21" i="40"/>
  <c r="V21" i="40"/>
  <c r="V15" i="40"/>
  <c r="U15" i="40"/>
  <c r="V14" i="40"/>
  <c r="U14" i="40"/>
  <c r="A80" i="40"/>
  <c r="A81" i="40"/>
  <c r="A82" i="40"/>
  <c r="A83" i="40"/>
  <c r="A84" i="40"/>
  <c r="A85" i="40"/>
  <c r="A79" i="40"/>
  <c r="A72" i="40"/>
  <c r="A73" i="40"/>
  <c r="A74" i="40"/>
  <c r="A75" i="40"/>
  <c r="A76" i="40"/>
  <c r="A77" i="40"/>
  <c r="A71" i="40"/>
  <c r="A64" i="40"/>
  <c r="A65" i="40"/>
  <c r="A66" i="40"/>
  <c r="A67" i="40"/>
  <c r="A68" i="40"/>
  <c r="A69" i="40"/>
  <c r="A63" i="40"/>
  <c r="A56" i="40"/>
  <c r="A57" i="40"/>
  <c r="A58" i="40"/>
  <c r="A59" i="40"/>
  <c r="A60" i="40"/>
  <c r="A61" i="40"/>
  <c r="A55" i="40"/>
  <c r="A48" i="40"/>
  <c r="A49" i="40"/>
  <c r="A50" i="40"/>
  <c r="A51" i="40"/>
  <c r="A52" i="40"/>
  <c r="A53" i="40"/>
  <c r="A47" i="40"/>
  <c r="A40" i="40"/>
  <c r="A41" i="40"/>
  <c r="A42" i="40"/>
  <c r="A43" i="40"/>
  <c r="A44" i="40"/>
  <c r="A45" i="40"/>
  <c r="A39" i="40"/>
  <c r="A32" i="40"/>
  <c r="A33" i="40"/>
  <c r="A34" i="40"/>
  <c r="A35" i="40"/>
  <c r="A36" i="40"/>
  <c r="A37" i="40"/>
  <c r="A31" i="40"/>
  <c r="A24" i="40"/>
  <c r="A25" i="40"/>
  <c r="A26" i="40"/>
  <c r="A27" i="40"/>
  <c r="A28" i="40"/>
  <c r="A29" i="40"/>
  <c r="A23" i="40"/>
  <c r="A30" i="40"/>
  <c r="A38" i="40"/>
  <c r="A46" i="40"/>
  <c r="A54" i="40"/>
  <c r="A62" i="40"/>
  <c r="A70" i="40"/>
  <c r="A78" i="40"/>
  <c r="A22" i="40"/>
  <c r="A16" i="40"/>
  <c r="A17" i="40"/>
  <c r="A18" i="40"/>
  <c r="A19" i="40"/>
  <c r="A20" i="40"/>
  <c r="A21" i="40"/>
  <c r="A15" i="40"/>
  <c r="A14" i="40"/>
  <c r="U7" i="40"/>
  <c r="V7" i="40"/>
  <c r="U8" i="40"/>
  <c r="V8" i="40"/>
  <c r="U9" i="40"/>
  <c r="V9" i="40"/>
  <c r="U10" i="40"/>
  <c r="V10" i="40"/>
  <c r="U11" i="40"/>
  <c r="V11" i="40"/>
  <c r="U12" i="40"/>
  <c r="V12" i="40"/>
  <c r="U13" i="40"/>
  <c r="V13" i="40"/>
  <c r="V6" i="40"/>
  <c r="U6" i="40"/>
  <c r="B7" i="40"/>
  <c r="B8" i="40"/>
  <c r="C8" i="40" s="1"/>
  <c r="B9" i="40"/>
  <c r="C9" i="40" s="1"/>
  <c r="B10" i="40"/>
  <c r="B11" i="40"/>
  <c r="C11" i="40" s="1"/>
  <c r="B12" i="40"/>
  <c r="B13" i="40"/>
  <c r="C13" i="40" s="1"/>
  <c r="D13" i="40" s="1"/>
  <c r="E13" i="40" s="1"/>
  <c r="F13" i="40" s="1"/>
  <c r="G13" i="40" s="1"/>
  <c r="B6" i="40"/>
  <c r="A13" i="40"/>
  <c r="A7" i="40"/>
  <c r="A8" i="40"/>
  <c r="A9" i="40"/>
  <c r="A10" i="40"/>
  <c r="A11" i="40"/>
  <c r="A12" i="40"/>
  <c r="A6" i="40"/>
  <c r="Y378" i="40"/>
  <c r="AI368" i="40"/>
  <c r="AE363" i="40"/>
  <c r="AI351" i="40"/>
  <c r="AJ323" i="40"/>
  <c r="AG315" i="40"/>
  <c r="AI313" i="40"/>
  <c r="AI276" i="40"/>
  <c r="X274" i="40"/>
  <c r="AF272" i="40"/>
  <c r="AE267" i="40"/>
  <c r="AJ261" i="40"/>
  <c r="AJ240" i="40"/>
  <c r="AH227" i="40"/>
  <c r="AJ184" i="40"/>
  <c r="AJ183" i="40"/>
  <c r="Y154" i="40"/>
  <c r="AJ98" i="40"/>
  <c r="Z91" i="40"/>
  <c r="AE4" i="40"/>
  <c r="AF4" i="40" s="1"/>
  <c r="AG4" i="40" s="1"/>
  <c r="AH4" i="40" s="1"/>
  <c r="AI4" i="40" s="1"/>
  <c r="AJ4" i="40" s="1"/>
  <c r="X4" i="40"/>
  <c r="Y4" i="40" s="1"/>
  <c r="Z4" i="40" s="1"/>
  <c r="AA4" i="40" s="1"/>
  <c r="AB4" i="40" s="1"/>
  <c r="AC4" i="40" s="1"/>
  <c r="R4" i="40"/>
  <c r="S4" i="40" s="1"/>
  <c r="T4" i="40" s="1"/>
  <c r="U4" i="40" s="1"/>
  <c r="V4" i="40" s="1"/>
  <c r="Q4" i="40"/>
  <c r="I4" i="40"/>
  <c r="J4" i="40" s="1"/>
  <c r="K4" i="40" s="1"/>
  <c r="L4" i="40" s="1"/>
  <c r="M4" i="40" s="1"/>
  <c r="N4" i="40" s="1"/>
  <c r="C4" i="40"/>
  <c r="D4" i="40" s="1"/>
  <c r="E4" i="40" s="1"/>
  <c r="F4" i="40" s="1"/>
  <c r="G4" i="40" s="1"/>
  <c r="B4" i="40"/>
  <c r="A42" i="13"/>
  <c r="AC13" i="40" l="1"/>
  <c r="AB13" i="40"/>
  <c r="X329" i="40"/>
  <c r="AI378" i="40"/>
  <c r="AF262" i="40"/>
  <c r="X161" i="40"/>
  <c r="AI145" i="40"/>
  <c r="AE144" i="40"/>
  <c r="AH244" i="40"/>
  <c r="AJ309" i="40"/>
  <c r="AF325" i="40"/>
  <c r="X130" i="40"/>
  <c r="X170" i="40"/>
  <c r="AJ318" i="40"/>
  <c r="AG326" i="40"/>
  <c r="X86" i="40"/>
  <c r="AI132" i="40"/>
  <c r="AH86" i="40"/>
  <c r="AF133" i="40"/>
  <c r="AF141" i="40"/>
  <c r="Y214" i="40"/>
  <c r="Y222" i="40"/>
  <c r="AJ343" i="40"/>
  <c r="AI103" i="40"/>
  <c r="AI118" i="40"/>
  <c r="AF352" i="40"/>
  <c r="AI330" i="40"/>
  <c r="X345" i="40"/>
  <c r="AG393" i="40"/>
  <c r="AE400" i="40"/>
  <c r="AH230" i="40"/>
  <c r="AE247" i="40"/>
  <c r="AE341" i="40"/>
  <c r="AJ97" i="40"/>
  <c r="AI104" i="40"/>
  <c r="AJ281" i="40"/>
  <c r="AE357" i="40"/>
  <c r="X90" i="40"/>
  <c r="AE157" i="40"/>
  <c r="AI231" i="40"/>
  <c r="AE231" i="40"/>
  <c r="AH248" i="40"/>
  <c r="X254" i="40"/>
  <c r="AI327" i="40"/>
  <c r="AI335" i="40"/>
  <c r="AJ389" i="40"/>
  <c r="AJ129" i="40"/>
  <c r="X217" i="40"/>
  <c r="AH256" i="40"/>
  <c r="AJ313" i="40"/>
  <c r="AJ144" i="40"/>
  <c r="AG203" i="40"/>
  <c r="X310" i="40"/>
  <c r="X145" i="40"/>
  <c r="AE218" i="40"/>
  <c r="AH318" i="40"/>
  <c r="AG343" i="40"/>
  <c r="AH105" i="40"/>
  <c r="AJ152" i="40"/>
  <c r="X320" i="40"/>
  <c r="AE343" i="40"/>
  <c r="AG351" i="40"/>
  <c r="X378" i="40"/>
  <c r="AE404" i="40"/>
  <c r="AI180" i="40"/>
  <c r="AE105" i="40"/>
  <c r="AJ106" i="40"/>
  <c r="AE125" i="40"/>
  <c r="AE152" i="40"/>
  <c r="AI244" i="40"/>
  <c r="AJ255" i="40"/>
  <c r="X269" i="40"/>
  <c r="AH274" i="40"/>
  <c r="AE310" i="40"/>
  <c r="AG320" i="40"/>
  <c r="AH394" i="40"/>
  <c r="Y395" i="40"/>
  <c r="AI400" i="40"/>
  <c r="AI94" i="40"/>
  <c r="AG101" i="40"/>
  <c r="AI134" i="40"/>
  <c r="AJ153" i="40"/>
  <c r="AG161" i="40"/>
  <c r="AJ175" i="40"/>
  <c r="AJ180" i="40"/>
  <c r="X192" i="40"/>
  <c r="AE198" i="40"/>
  <c r="AJ288" i="40"/>
  <c r="AJ315" i="40"/>
  <c r="Y328" i="40"/>
  <c r="AI401" i="40"/>
  <c r="AE101" i="40"/>
  <c r="AI120" i="40"/>
  <c r="AJ148" i="40"/>
  <c r="AH161" i="40"/>
  <c r="X162" i="40"/>
  <c r="AE180" i="40"/>
  <c r="AE181" i="40"/>
  <c r="AE187" i="40"/>
  <c r="AA216" i="40"/>
  <c r="AE228" i="40"/>
  <c r="X230" i="40"/>
  <c r="Y246" i="40"/>
  <c r="X317" i="40"/>
  <c r="AJ335" i="40"/>
  <c r="AI367" i="40"/>
  <c r="AH389" i="40"/>
  <c r="AI96" i="40"/>
  <c r="AG108" i="40"/>
  <c r="AE112" i="40"/>
  <c r="Y170" i="40"/>
  <c r="AE199" i="40"/>
  <c r="Y201" i="40"/>
  <c r="AI240" i="40"/>
  <c r="Y266" i="40"/>
  <c r="AH275" i="40"/>
  <c r="X355" i="40"/>
  <c r="AG376" i="40"/>
  <c r="AE389" i="40"/>
  <c r="Y91" i="40"/>
  <c r="X104" i="40"/>
  <c r="AF156" i="40"/>
  <c r="X196" i="40"/>
  <c r="AJ269" i="40"/>
  <c r="AI269" i="40"/>
  <c r="AG349" i="40"/>
  <c r="AE349" i="40"/>
  <c r="AI140" i="40"/>
  <c r="X151" i="40"/>
  <c r="AJ305" i="40"/>
  <c r="AH305" i="40"/>
  <c r="AE305" i="40"/>
  <c r="AH333" i="40"/>
  <c r="AE333" i="40"/>
  <c r="AG333" i="40"/>
  <c r="AF357" i="40"/>
  <c r="X87" i="40"/>
  <c r="AF109" i="40"/>
  <c r="AH109" i="40"/>
  <c r="AF91" i="40"/>
  <c r="AJ91" i="40"/>
  <c r="AJ314" i="40"/>
  <c r="AI314" i="40"/>
  <c r="AI92" i="40"/>
  <c r="AE132" i="40"/>
  <c r="AG145" i="40"/>
  <c r="X163" i="40"/>
  <c r="AJ168" i="40"/>
  <c r="AH205" i="40"/>
  <c r="AI205" i="40"/>
  <c r="AJ213" i="40"/>
  <c r="AH213" i="40"/>
  <c r="AG305" i="40"/>
  <c r="AI190" i="40"/>
  <c r="AJ385" i="40"/>
  <c r="AH385" i="40"/>
  <c r="AJ89" i="40"/>
  <c r="X118" i="40"/>
  <c r="AE140" i="40"/>
  <c r="AJ145" i="40"/>
  <c r="Y146" i="40"/>
  <c r="AJ156" i="40"/>
  <c r="AI169" i="40"/>
  <c r="AF199" i="40"/>
  <c r="AJ222" i="40"/>
  <c r="AH222" i="40"/>
  <c r="X314" i="40"/>
  <c r="AJ177" i="40"/>
  <c r="AF177" i="40"/>
  <c r="AH207" i="40"/>
  <c r="AI222" i="40"/>
  <c r="AG238" i="40"/>
  <c r="AH262" i="40"/>
  <c r="AE262" i="40"/>
  <c r="AG262" i="40"/>
  <c r="AG328" i="40"/>
  <c r="AJ87" i="40"/>
  <c r="AH246" i="40"/>
  <c r="X91" i="40"/>
  <c r="X171" i="40"/>
  <c r="AI216" i="40"/>
  <c r="AE222" i="40"/>
  <c r="AF223" i="40"/>
  <c r="AJ273" i="40"/>
  <c r="AH273" i="40"/>
  <c r="AF336" i="40"/>
  <c r="AJ336" i="40"/>
  <c r="AE336" i="40"/>
  <c r="AI336" i="40"/>
  <c r="AI375" i="40"/>
  <c r="AH219" i="40"/>
  <c r="AE246" i="40"/>
  <c r="AH283" i="40"/>
  <c r="AE351" i="40"/>
  <c r="X392" i="40"/>
  <c r="AF397" i="40"/>
  <c r="X398" i="40"/>
  <c r="AI88" i="40"/>
  <c r="X89" i="40"/>
  <c r="AI99" i="40"/>
  <c r="X110" i="40"/>
  <c r="AE120" i="40"/>
  <c r="AJ121" i="40"/>
  <c r="X129" i="40"/>
  <c r="AJ135" i="40"/>
  <c r="AG152" i="40"/>
  <c r="X158" i="40"/>
  <c r="AE172" i="40"/>
  <c r="X174" i="40"/>
  <c r="AE177" i="40"/>
  <c r="AE234" i="40"/>
  <c r="AG239" i="40"/>
  <c r="AE248" i="40"/>
  <c r="X256" i="40"/>
  <c r="X258" i="40"/>
  <c r="X277" i="40"/>
  <c r="Y306" i="40"/>
  <c r="AE326" i="40"/>
  <c r="AG341" i="40"/>
  <c r="AG365" i="40"/>
  <c r="X382" i="40"/>
  <c r="AJ386" i="40"/>
  <c r="AH392" i="40"/>
  <c r="AI404" i="40"/>
  <c r="X99" i="40"/>
  <c r="AI100" i="40"/>
  <c r="X106" i="40"/>
  <c r="X116" i="40"/>
  <c r="X144" i="40"/>
  <c r="AH146" i="40"/>
  <c r="X159" i="40"/>
  <c r="AJ164" i="40"/>
  <c r="AI174" i="40"/>
  <c r="AF179" i="40"/>
  <c r="X180" i="40"/>
  <c r="X204" i="40"/>
  <c r="X224" i="40"/>
  <c r="X226" i="40"/>
  <c r="AH239" i="40"/>
  <c r="AE239" i="40"/>
  <c r="AH243" i="40"/>
  <c r="X244" i="40"/>
  <c r="Y256" i="40"/>
  <c r="X263" i="40"/>
  <c r="AI267" i="40"/>
  <c r="X286" i="40"/>
  <c r="AJ293" i="40"/>
  <c r="X294" i="40"/>
  <c r="AH312" i="40"/>
  <c r="AI326" i="40"/>
  <c r="AH329" i="40"/>
  <c r="AE344" i="40"/>
  <c r="AJ353" i="40"/>
  <c r="AH365" i="40"/>
  <c r="X366" i="40"/>
  <c r="AF370" i="40"/>
  <c r="X388" i="40"/>
  <c r="AG404" i="40"/>
  <c r="AE92" i="40"/>
  <c r="AH110" i="40"/>
  <c r="AF123" i="40"/>
  <c r="X124" i="40"/>
  <c r="AG129" i="40"/>
  <c r="Y138" i="40"/>
  <c r="AI144" i="40"/>
  <c r="Y175" i="40"/>
  <c r="AI193" i="40"/>
  <c r="X194" i="40"/>
  <c r="AH198" i="40"/>
  <c r="Y199" i="40"/>
  <c r="AI204" i="40"/>
  <c r="AG215" i="40"/>
  <c r="AE226" i="40"/>
  <c r="AI248" i="40"/>
  <c r="AH254" i="40"/>
  <c r="AH263" i="40"/>
  <c r="AJ267" i="40"/>
  <c r="AE294" i="40"/>
  <c r="AH307" i="40"/>
  <c r="AG318" i="40"/>
  <c r="X327" i="40"/>
  <c r="Y330" i="40"/>
  <c r="X335" i="40"/>
  <c r="AI345" i="40"/>
  <c r="AJ350" i="40"/>
  <c r="X353" i="40"/>
  <c r="AG360" i="40"/>
  <c r="AE365" i="40"/>
  <c r="AJ366" i="40"/>
  <c r="X367" i="40"/>
  <c r="AJ394" i="40"/>
  <c r="X261" i="40"/>
  <c r="X323" i="40"/>
  <c r="AF346" i="40"/>
  <c r="X347" i="40"/>
  <c r="X384" i="40"/>
  <c r="AI108" i="40"/>
  <c r="AI112" i="40"/>
  <c r="AE117" i="40"/>
  <c r="X126" i="40"/>
  <c r="AF139" i="40"/>
  <c r="X150" i="40"/>
  <c r="X168" i="40"/>
  <c r="AI228" i="40"/>
  <c r="AH281" i="40"/>
  <c r="X282" i="40"/>
  <c r="AH327" i="40"/>
  <c r="AI343" i="40"/>
  <c r="AF351" i="40"/>
  <c r="AF362" i="40"/>
  <c r="X363" i="40"/>
  <c r="AI373" i="40"/>
  <c r="X374" i="40"/>
  <c r="AI384" i="40"/>
  <c r="AJ400" i="40"/>
  <c r="Y151" i="40"/>
  <c r="Y163" i="40"/>
  <c r="Z163" i="40"/>
  <c r="AG92" i="40"/>
  <c r="X100" i="40"/>
  <c r="AF108" i="40"/>
  <c r="AJ120" i="40"/>
  <c r="X121" i="40"/>
  <c r="AH125" i="40"/>
  <c r="AJ130" i="40"/>
  <c r="AJ136" i="40"/>
  <c r="AJ140" i="40"/>
  <c r="AF144" i="40"/>
  <c r="X146" i="40"/>
  <c r="AE149" i="40"/>
  <c r="Z150" i="40"/>
  <c r="AJ169" i="40"/>
  <c r="AF183" i="40"/>
  <c r="AG183" i="40"/>
  <c r="Y86" i="40"/>
  <c r="AF93" i="40"/>
  <c r="X94" i="40"/>
  <c r="AG97" i="40"/>
  <c r="AE137" i="40"/>
  <c r="AG141" i="40"/>
  <c r="AI168" i="40"/>
  <c r="AH174" i="40"/>
  <c r="Y247" i="40"/>
  <c r="X247" i="40"/>
  <c r="Y87" i="40"/>
  <c r="AG89" i="40"/>
  <c r="AI91" i="40"/>
  <c r="AH97" i="40"/>
  <c r="AJ105" i="40"/>
  <c r="AE108" i="40"/>
  <c r="AJ113" i="40"/>
  <c r="Y114" i="40"/>
  <c r="AH118" i="40"/>
  <c r="AJ127" i="40"/>
  <c r="AJ132" i="40"/>
  <c r="AH141" i="40"/>
  <c r="X142" i="40"/>
  <c r="AH157" i="40"/>
  <c r="X164" i="40"/>
  <c r="AG168" i="40"/>
  <c r="X175" i="40"/>
  <c r="AH178" i="40"/>
  <c r="AF181" i="40"/>
  <c r="X184" i="40"/>
  <c r="AJ185" i="40"/>
  <c r="X122" i="40"/>
  <c r="AI128" i="40"/>
  <c r="X138" i="40"/>
  <c r="X140" i="40"/>
  <c r="AE141" i="40"/>
  <c r="X169" i="40"/>
  <c r="AE97" i="40"/>
  <c r="AF87" i="40"/>
  <c r="AH101" i="40"/>
  <c r="AH114" i="40"/>
  <c r="AI124" i="40"/>
  <c r="AG133" i="40"/>
  <c r="X134" i="40"/>
  <c r="AH145" i="40"/>
  <c r="AE153" i="40"/>
  <c r="AJ154" i="40"/>
  <c r="AA159" i="40"/>
  <c r="Y162" i="40"/>
  <c r="AG186" i="40"/>
  <c r="AH191" i="40"/>
  <c r="AH199" i="40"/>
  <c r="Y351" i="40"/>
  <c r="X214" i="40"/>
  <c r="AI87" i="40"/>
  <c r="X96" i="40"/>
  <c r="AJ143" i="40"/>
  <c r="X152" i="40"/>
  <c r="AE164" i="40"/>
  <c r="AF180" i="40"/>
  <c r="AG182" i="40"/>
  <c r="AI196" i="40"/>
  <c r="AE196" i="40"/>
  <c r="AG196" i="40"/>
  <c r="AF196" i="40"/>
  <c r="AJ206" i="40"/>
  <c r="AI90" i="40"/>
  <c r="X95" i="40"/>
  <c r="AH102" i="40"/>
  <c r="AI116" i="40"/>
  <c r="AG120" i="40"/>
  <c r="AG125" i="40"/>
  <c r="AH129" i="40"/>
  <c r="Y130" i="40"/>
  <c r="X136" i="40"/>
  <c r="AG140" i="40"/>
  <c r="AH149" i="40"/>
  <c r="X166" i="40"/>
  <c r="AH169" i="40"/>
  <c r="AH182" i="40"/>
  <c r="AJ191" i="40"/>
  <c r="AG206" i="40"/>
  <c r="X213" i="40"/>
  <c r="AI200" i="40"/>
  <c r="AI212" i="40"/>
  <c r="AI220" i="40"/>
  <c r="X225" i="40"/>
  <c r="Y230" i="40"/>
  <c r="AH237" i="40"/>
  <c r="AG247" i="40"/>
  <c r="AI254" i="40"/>
  <c r="AI257" i="40"/>
  <c r="AI275" i="40"/>
  <c r="AG283" i="40"/>
  <c r="X306" i="40"/>
  <c r="AI312" i="40"/>
  <c r="X346" i="40"/>
  <c r="AE366" i="40"/>
  <c r="AI370" i="40"/>
  <c r="X371" i="40"/>
  <c r="AH376" i="40"/>
  <c r="AE376" i="40"/>
  <c r="AF384" i="40"/>
  <c r="AG396" i="40"/>
  <c r="X402" i="40"/>
  <c r="AF405" i="40"/>
  <c r="AE195" i="40"/>
  <c r="AI198" i="40"/>
  <c r="AH200" i="40"/>
  <c r="AE206" i="40"/>
  <c r="AG212" i="40"/>
  <c r="AE212" i="40"/>
  <c r="AH216" i="40"/>
  <c r="AF220" i="40"/>
  <c r="X221" i="40"/>
  <c r="AG223" i="40"/>
  <c r="X228" i="40"/>
  <c r="AF230" i="40"/>
  <c r="AF244" i="40"/>
  <c r="AF246" i="40"/>
  <c r="AI247" i="40"/>
  <c r="X250" i="40"/>
  <c r="AE258" i="40"/>
  <c r="AJ262" i="40"/>
  <c r="X266" i="40"/>
  <c r="Y267" i="40"/>
  <c r="Y269" i="40"/>
  <c r="AJ275" i="40"/>
  <c r="AE283" i="40"/>
  <c r="AJ289" i="40"/>
  <c r="X296" i="40"/>
  <c r="X302" i="40"/>
  <c r="AJ308" i="40"/>
  <c r="AH328" i="40"/>
  <c r="AE328" i="40"/>
  <c r="X331" i="40"/>
  <c r="AE334" i="40"/>
  <c r="AI337" i="40"/>
  <c r="AJ342" i="40"/>
  <c r="AI352" i="40"/>
  <c r="Y352" i="40"/>
  <c r="Z353" i="40"/>
  <c r="AE360" i="40"/>
  <c r="AG368" i="40"/>
  <c r="X370" i="40"/>
  <c r="AF375" i="40"/>
  <c r="AJ376" i="40"/>
  <c r="X381" i="40"/>
  <c r="AE384" i="40"/>
  <c r="AJ396" i="40"/>
  <c r="AE401" i="40"/>
  <c r="Y402" i="40"/>
  <c r="AG198" i="40"/>
  <c r="AJ200" i="40"/>
  <c r="AJ221" i="40"/>
  <c r="X222" i="40"/>
  <c r="AH223" i="40"/>
  <c r="AI238" i="40"/>
  <c r="AG244" i="40"/>
  <c r="AE244" i="40"/>
  <c r="AG246" i="40"/>
  <c r="AJ247" i="40"/>
  <c r="AI255" i="40"/>
  <c r="AE255" i="40"/>
  <c r="AH259" i="40"/>
  <c r="AF274" i="40"/>
  <c r="X301" i="40"/>
  <c r="AE302" i="40"/>
  <c r="AG327" i="40"/>
  <c r="X330" i="40"/>
  <c r="AJ337" i="40"/>
  <c r="Y338" i="40"/>
  <c r="AJ344" i="40"/>
  <c r="AJ352" i="40"/>
  <c r="AH372" i="40"/>
  <c r="X373" i="40"/>
  <c r="AG375" i="40"/>
  <c r="AG389" i="40"/>
  <c r="AE396" i="40"/>
  <c r="AG260" i="40"/>
  <c r="Y265" i="40"/>
  <c r="AF269" i="40"/>
  <c r="Y326" i="40"/>
  <c r="AG332" i="40"/>
  <c r="X337" i="40"/>
  <c r="AF349" i="40"/>
  <c r="Y367" i="40"/>
  <c r="AI199" i="40"/>
  <c r="AJ202" i="40"/>
  <c r="AJ208" i="40"/>
  <c r="AH215" i="40"/>
  <c r="AE215" i="40"/>
  <c r="X223" i="40"/>
  <c r="AG228" i="40"/>
  <c r="X238" i="40"/>
  <c r="AG252" i="40"/>
  <c r="X253" i="40"/>
  <c r="AJ263" i="40"/>
  <c r="AE263" i="40"/>
  <c r="AI282" i="40"/>
  <c r="Y284" i="40"/>
  <c r="Y287" i="40"/>
  <c r="AJ298" i="40"/>
  <c r="X305" i="40"/>
  <c r="AG307" i="40"/>
  <c r="X311" i="40"/>
  <c r="X319" i="40"/>
  <c r="AF332" i="40"/>
  <c r="X339" i="40"/>
  <c r="AI353" i="40"/>
  <c r="AF367" i="40"/>
  <c r="Y369" i="40"/>
  <c r="AG373" i="40"/>
  <c r="AJ375" i="40"/>
  <c r="X383" i="40"/>
  <c r="AE385" i="40"/>
  <c r="AI182" i="40"/>
  <c r="X190" i="40"/>
  <c r="AG199" i="40"/>
  <c r="AF202" i="40"/>
  <c r="AE213" i="40"/>
  <c r="AI215" i="40"/>
  <c r="AI217" i="40"/>
  <c r="X218" i="40"/>
  <c r="AG222" i="40"/>
  <c r="AH228" i="40"/>
  <c r="AH231" i="40"/>
  <c r="AF241" i="40"/>
  <c r="AI262" i="40"/>
  <c r="AG267" i="40"/>
  <c r="AG273" i="40"/>
  <c r="AE273" i="40"/>
  <c r="Z275" i="40"/>
  <c r="X278" i="40"/>
  <c r="AF282" i="40"/>
  <c r="AI292" i="40"/>
  <c r="AI298" i="40"/>
  <c r="X299" i="40"/>
  <c r="AI307" i="40"/>
  <c r="AE307" i="40"/>
  <c r="AE315" i="40"/>
  <c r="Y320" i="40"/>
  <c r="AJ321" i="40"/>
  <c r="X326" i="40"/>
  <c r="AJ327" i="40"/>
  <c r="AI333" i="40"/>
  <c r="AE335" i="40"/>
  <c r="AF343" i="40"/>
  <c r="AJ345" i="40"/>
  <c r="X350" i="40"/>
  <c r="AH353" i="40"/>
  <c r="AJ358" i="40"/>
  <c r="AI365" i="40"/>
  <c r="AG367" i="40"/>
  <c r="AH369" i="40"/>
  <c r="AH373" i="40"/>
  <c r="AH400" i="40"/>
  <c r="AF404" i="40"/>
  <c r="AE288" i="40"/>
  <c r="X379" i="40"/>
  <c r="AJ237" i="40"/>
  <c r="AG275" i="40"/>
  <c r="AI288" i="40"/>
  <c r="AI293" i="40"/>
  <c r="AF312" i="40"/>
  <c r="Y317" i="40"/>
  <c r="Y375" i="40"/>
  <c r="AG392" i="40"/>
  <c r="AI396" i="40"/>
  <c r="C12" i="40"/>
  <c r="D12" i="40" s="1"/>
  <c r="AI86" i="40"/>
  <c r="AE93" i="40"/>
  <c r="AF96" i="40"/>
  <c r="X98" i="40"/>
  <c r="AF100" i="40"/>
  <c r="AI102" i="40"/>
  <c r="X102" i="40"/>
  <c r="AG104" i="40"/>
  <c r="X107" i="40"/>
  <c r="AG109" i="40"/>
  <c r="AJ114" i="40"/>
  <c r="X114" i="40"/>
  <c r="AJ116" i="40"/>
  <c r="AJ119" i="40"/>
  <c r="AH121" i="40"/>
  <c r="AF124" i="40"/>
  <c r="AH126" i="40"/>
  <c r="AE128" i="40"/>
  <c r="X132" i="40"/>
  <c r="AE133" i="40"/>
  <c r="Z134" i="40"/>
  <c r="AH136" i="40"/>
  <c r="Z142" i="40"/>
  <c r="AG144" i="40"/>
  <c r="AJ146" i="40"/>
  <c r="AI152" i="40"/>
  <c r="AF152" i="40"/>
  <c r="AH154" i="40"/>
  <c r="X160" i="40"/>
  <c r="AE165" i="40"/>
  <c r="Z166" i="40"/>
  <c r="Y171" i="40"/>
  <c r="X182" i="40"/>
  <c r="Y182" i="40"/>
  <c r="AI185" i="40"/>
  <c r="Y190" i="40"/>
  <c r="AJ229" i="40"/>
  <c r="AH229" i="40"/>
  <c r="AE229" i="40"/>
  <c r="AG229" i="40"/>
  <c r="AF92" i="40"/>
  <c r="AG96" i="40"/>
  <c r="AH98" i="40"/>
  <c r="AG100" i="40"/>
  <c r="AJ104" i="40"/>
  <c r="AF112" i="40"/>
  <c r="AE116" i="40"/>
  <c r="AF117" i="40"/>
  <c r="X120" i="40"/>
  <c r="AE121" i="40"/>
  <c r="Y122" i="40"/>
  <c r="AG124" i="40"/>
  <c r="X127" i="40"/>
  <c r="X137" i="40"/>
  <c r="X155" i="40"/>
  <c r="AI160" i="40"/>
  <c r="AF160" i="40"/>
  <c r="AF165" i="40"/>
  <c r="AI166" i="40"/>
  <c r="AH166" i="40"/>
  <c r="AG169" i="40"/>
  <c r="Z171" i="40"/>
  <c r="AI176" i="40"/>
  <c r="AG176" i="40"/>
  <c r="AJ176" i="40"/>
  <c r="AI214" i="40"/>
  <c r="AH214" i="40"/>
  <c r="AG214" i="40"/>
  <c r="AF214" i="40"/>
  <c r="Y232" i="40"/>
  <c r="Z87" i="40"/>
  <c r="AF88" i="40"/>
  <c r="AH89" i="40"/>
  <c r="AH94" i="40"/>
  <c r="AJ96" i="40"/>
  <c r="AJ100" i="40"/>
  <c r="Y103" i="40"/>
  <c r="AE104" i="40"/>
  <c r="X108" i="40"/>
  <c r="AE109" i="40"/>
  <c r="AG112" i="40"/>
  <c r="X115" i="40"/>
  <c r="AG117" i="40"/>
  <c r="AJ122" i="40"/>
  <c r="AJ124" i="40"/>
  <c r="AF132" i="40"/>
  <c r="AH134" i="40"/>
  <c r="AE136" i="40"/>
  <c r="AJ137" i="40"/>
  <c r="AG137" i="40"/>
  <c r="AF140" i="40"/>
  <c r="AH142" i="40"/>
  <c r="X143" i="40"/>
  <c r="AI150" i="40"/>
  <c r="AH150" i="40"/>
  <c r="X153" i="40"/>
  <c r="Z158" i="40"/>
  <c r="AG160" i="40"/>
  <c r="AJ162" i="40"/>
  <c r="AI164" i="40"/>
  <c r="AG164" i="40"/>
  <c r="X167" i="40"/>
  <c r="AF176" i="40"/>
  <c r="X215" i="40"/>
  <c r="AI232" i="40"/>
  <c r="AJ232" i="40"/>
  <c r="AH232" i="40"/>
  <c r="Y240" i="40"/>
  <c r="AG88" i="40"/>
  <c r="AE88" i="40"/>
  <c r="AE89" i="40"/>
  <c r="AJ92" i="40"/>
  <c r="Y95" i="40"/>
  <c r="AE96" i="40"/>
  <c r="Y99" i="40"/>
  <c r="AE100" i="40"/>
  <c r="AF101" i="40"/>
  <c r="X103" i="40"/>
  <c r="AG105" i="40"/>
  <c r="AI110" i="40"/>
  <c r="AJ112" i="40"/>
  <c r="X113" i="40"/>
  <c r="AF115" i="40"/>
  <c r="AH117" i="40"/>
  <c r="AF120" i="40"/>
  <c r="AH122" i="40"/>
  <c r="AE124" i="40"/>
  <c r="AF125" i="40"/>
  <c r="X128" i="40"/>
  <c r="AE129" i="40"/>
  <c r="AG132" i="40"/>
  <c r="X135" i="40"/>
  <c r="AH137" i="40"/>
  <c r="AF147" i="40"/>
  <c r="X148" i="40"/>
  <c r="AI153" i="40"/>
  <c r="AG153" i="40"/>
  <c r="X156" i="40"/>
  <c r="AF157" i="40"/>
  <c r="AI158" i="40"/>
  <c r="AH158" i="40"/>
  <c r="AJ160" i="40"/>
  <c r="AH162" i="40"/>
  <c r="AF164" i="40"/>
  <c r="X172" i="40"/>
  <c r="AE176" i="40"/>
  <c r="AI177" i="40"/>
  <c r="AH177" i="40"/>
  <c r="AG177" i="40"/>
  <c r="Z183" i="40"/>
  <c r="Y183" i="40"/>
  <c r="Z193" i="40"/>
  <c r="Y208" i="40"/>
  <c r="AJ88" i="40"/>
  <c r="Y90" i="40"/>
  <c r="X123" i="40"/>
  <c r="AI148" i="40"/>
  <c r="AF148" i="40"/>
  <c r="AH153" i="40"/>
  <c r="AI156" i="40"/>
  <c r="AG156" i="40"/>
  <c r="AE160" i="40"/>
  <c r="AI161" i="40"/>
  <c r="AF161" i="40"/>
  <c r="AI172" i="40"/>
  <c r="AG172" i="40"/>
  <c r="AF172" i="40"/>
  <c r="X188" i="40"/>
  <c r="X111" i="40"/>
  <c r="AG113" i="40"/>
  <c r="AF128" i="40"/>
  <c r="AH130" i="40"/>
  <c r="AJ138" i="40"/>
  <c r="AH138" i="40"/>
  <c r="AG148" i="40"/>
  <c r="AJ165" i="40"/>
  <c r="AG165" i="40"/>
  <c r="AJ172" i="40"/>
  <c r="Y178" i="40"/>
  <c r="X178" i="40"/>
  <c r="Y200" i="40"/>
  <c r="Y248" i="40"/>
  <c r="AH90" i="40"/>
  <c r="AG93" i="40"/>
  <c r="AJ108" i="40"/>
  <c r="AJ111" i="40"/>
  <c r="AH113" i="40"/>
  <c r="AF116" i="40"/>
  <c r="AG128" i="40"/>
  <c r="X131" i="40"/>
  <c r="AI136" i="40"/>
  <c r="AG136" i="40"/>
  <c r="X139" i="40"/>
  <c r="AJ170" i="40"/>
  <c r="AH170" i="40"/>
  <c r="AI173" i="40"/>
  <c r="AF173" i="40"/>
  <c r="AG173" i="40"/>
  <c r="Y184" i="40"/>
  <c r="X189" i="40"/>
  <c r="X198" i="40"/>
  <c r="Z198" i="40"/>
  <c r="Z224" i="40"/>
  <c r="Y224" i="40"/>
  <c r="Y89" i="40"/>
  <c r="X92" i="40"/>
  <c r="AH93" i="40"/>
  <c r="AF104" i="40"/>
  <c r="AH106" i="40"/>
  <c r="X112" i="40"/>
  <c r="AE113" i="40"/>
  <c r="AG116" i="40"/>
  <c r="X119" i="40"/>
  <c r="AG121" i="40"/>
  <c r="AI126" i="40"/>
  <c r="AJ128" i="40"/>
  <c r="AF131" i="40"/>
  <c r="AH133" i="40"/>
  <c r="AF136" i="40"/>
  <c r="AE148" i="40"/>
  <c r="AF149" i="40"/>
  <c r="AG149" i="40"/>
  <c r="X154" i="40"/>
  <c r="AE156" i="40"/>
  <c r="AJ157" i="40"/>
  <c r="AG157" i="40"/>
  <c r="AJ161" i="40"/>
  <c r="AF163" i="40"/>
  <c r="AH165" i="40"/>
  <c r="AH173" i="40"/>
  <c r="X179" i="40"/>
  <c r="Y205" i="40"/>
  <c r="X205" i="40"/>
  <c r="X147" i="40"/>
  <c r="AJ151" i="40"/>
  <c r="AF155" i="40"/>
  <c r="AJ159" i="40"/>
  <c r="AF168" i="40"/>
  <c r="AE169" i="40"/>
  <c r="AJ173" i="40"/>
  <c r="X177" i="40"/>
  <c r="AJ178" i="40"/>
  <c r="AH181" i="40"/>
  <c r="AJ182" i="40"/>
  <c r="AE182" i="40"/>
  <c r="AI183" i="40"/>
  <c r="X185" i="40"/>
  <c r="AE188" i="40"/>
  <c r="AE190" i="40"/>
  <c r="AE191" i="40"/>
  <c r="AF195" i="40"/>
  <c r="X197" i="40"/>
  <c r="AJ198" i="40"/>
  <c r="AJ199" i="40"/>
  <c r="AE205" i="40"/>
  <c r="AF206" i="40"/>
  <c r="AG207" i="40"/>
  <c r="AF212" i="40"/>
  <c r="AJ215" i="40"/>
  <c r="AF217" i="40"/>
  <c r="AH220" i="40"/>
  <c r="AF222" i="40"/>
  <c r="AI225" i="40"/>
  <c r="X229" i="40"/>
  <c r="AG230" i="40"/>
  <c r="AG231" i="40"/>
  <c r="X233" i="40"/>
  <c r="X234" i="40"/>
  <c r="AG237" i="40"/>
  <c r="AE237" i="40"/>
  <c r="X246" i="40"/>
  <c r="AJ246" i="40"/>
  <c r="AG254" i="40"/>
  <c r="X255" i="40"/>
  <c r="AI274" i="40"/>
  <c r="Y292" i="40"/>
  <c r="AJ297" i="40"/>
  <c r="AE297" i="40"/>
  <c r="AG297" i="40"/>
  <c r="AH297" i="40"/>
  <c r="X298" i="40"/>
  <c r="Y298" i="40"/>
  <c r="AJ301" i="40"/>
  <c r="AF301" i="40"/>
  <c r="AI301" i="40"/>
  <c r="X308" i="40"/>
  <c r="AE316" i="40"/>
  <c r="AH316" i="40"/>
  <c r="AG316" i="40"/>
  <c r="AF316" i="40"/>
  <c r="AI379" i="40"/>
  <c r="AJ379" i="40"/>
  <c r="Y264" i="40"/>
  <c r="AJ266" i="40"/>
  <c r="AH266" i="40"/>
  <c r="AF280" i="40"/>
  <c r="AG280" i="40"/>
  <c r="AE352" i="40"/>
  <c r="X352" i="40"/>
  <c r="AG180" i="40"/>
  <c r="X183" i="40"/>
  <c r="AE192" i="40"/>
  <c r="X201" i="40"/>
  <c r="AE203" i="40"/>
  <c r="Y207" i="40"/>
  <c r="Y216" i="40"/>
  <c r="AI224" i="40"/>
  <c r="AI230" i="40"/>
  <c r="X231" i="40"/>
  <c r="AH235" i="40"/>
  <c r="X236" i="40"/>
  <c r="Z246" i="40"/>
  <c r="AF249" i="40"/>
  <c r="AI249" i="40"/>
  <c r="Y253" i="40"/>
  <c r="AJ254" i="40"/>
  <c r="AE254" i="40"/>
  <c r="Y262" i="40"/>
  <c r="X262" i="40"/>
  <c r="AE264" i="40"/>
  <c r="AI264" i="40"/>
  <c r="AJ264" i="40"/>
  <c r="AF266" i="40"/>
  <c r="AJ270" i="40"/>
  <c r="AE270" i="40"/>
  <c r="Y276" i="40"/>
  <c r="AH280" i="40"/>
  <c r="AJ306" i="40"/>
  <c r="AI306" i="40"/>
  <c r="AH306" i="40"/>
  <c r="AF306" i="40"/>
  <c r="Y309" i="40"/>
  <c r="Y313" i="40"/>
  <c r="AI361" i="40"/>
  <c r="AJ361" i="40"/>
  <c r="AH361" i="40"/>
  <c r="AI380" i="40"/>
  <c r="AJ380" i="40"/>
  <c r="AG380" i="40"/>
  <c r="AF380" i="40"/>
  <c r="AE168" i="40"/>
  <c r="AE173" i="40"/>
  <c r="AF190" i="40"/>
  <c r="AF191" i="40"/>
  <c r="AH192" i="40"/>
  <c r="AF204" i="40"/>
  <c r="AI206" i="40"/>
  <c r="X206" i="40"/>
  <c r="AJ207" i="40"/>
  <c r="AE207" i="40"/>
  <c r="AH208" i="40"/>
  <c r="AI209" i="40"/>
  <c r="AJ216" i="40"/>
  <c r="Z216" i="40"/>
  <c r="AG221" i="40"/>
  <c r="AE221" i="40"/>
  <c r="AI223" i="40"/>
  <c r="AH224" i="40"/>
  <c r="AJ230" i="40"/>
  <c r="AJ231" i="40"/>
  <c r="AI236" i="40"/>
  <c r="AF236" i="40"/>
  <c r="Y238" i="40"/>
  <c r="AI241" i="40"/>
  <c r="X249" i="40"/>
  <c r="AJ253" i="40"/>
  <c r="AE253" i="40"/>
  <c r="AG253" i="40"/>
  <c r="AF263" i="40"/>
  <c r="AH264" i="40"/>
  <c r="AI266" i="40"/>
  <c r="AJ276" i="40"/>
  <c r="AI280" i="40"/>
  <c r="AE280" i="40"/>
  <c r="X289" i="40"/>
  <c r="AJ304" i="40"/>
  <c r="AF304" i="40"/>
  <c r="AI304" i="40"/>
  <c r="AG304" i="40"/>
  <c r="AE304" i="40"/>
  <c r="X307" i="40"/>
  <c r="AI142" i="40"/>
  <c r="AE145" i="40"/>
  <c r="AE161" i="40"/>
  <c r="AJ167" i="40"/>
  <c r="AF169" i="40"/>
  <c r="AE174" i="40"/>
  <c r="X176" i="40"/>
  <c r="AF182" i="40"/>
  <c r="AE189" i="40"/>
  <c r="AG190" i="40"/>
  <c r="AG191" i="40"/>
  <c r="AI191" i="40"/>
  <c r="AI192" i="40"/>
  <c r="X193" i="40"/>
  <c r="AF198" i="40"/>
  <c r="X202" i="40"/>
  <c r="AG204" i="40"/>
  <c r="AE204" i="40"/>
  <c r="AI208" i="40"/>
  <c r="X209" i="40"/>
  <c r="X210" i="40"/>
  <c r="AF215" i="40"/>
  <c r="X216" i="40"/>
  <c r="X220" i="40"/>
  <c r="AH221" i="40"/>
  <c r="AJ223" i="40"/>
  <c r="AE223" i="40"/>
  <c r="AJ224" i="40"/>
  <c r="AE230" i="40"/>
  <c r="X232" i="40"/>
  <c r="AG236" i="40"/>
  <c r="AE236" i="40"/>
  <c r="Z238" i="40"/>
  <c r="AF239" i="40"/>
  <c r="AI239" i="40"/>
  <c r="AE240" i="40"/>
  <c r="AH240" i="40"/>
  <c r="AF247" i="40"/>
  <c r="AH247" i="40"/>
  <c r="AE250" i="40"/>
  <c r="AH253" i="40"/>
  <c r="X257" i="40"/>
  <c r="AG263" i="40"/>
  <c r="X264" i="40"/>
  <c r="Y274" i="40"/>
  <c r="X275" i="40"/>
  <c r="AJ280" i="40"/>
  <c r="AI284" i="40"/>
  <c r="AJ284" i="40"/>
  <c r="X290" i="40"/>
  <c r="AH299" i="40"/>
  <c r="AE299" i="40"/>
  <c r="AJ299" i="40"/>
  <c r="AI299" i="40"/>
  <c r="AG299" i="40"/>
  <c r="AH304" i="40"/>
  <c r="AF309" i="40"/>
  <c r="Y321" i="40"/>
  <c r="AH375" i="40"/>
  <c r="Y377" i="40"/>
  <c r="X390" i="40"/>
  <c r="AI189" i="40"/>
  <c r="AH190" i="40"/>
  <c r="AJ192" i="40"/>
  <c r="AH204" i="40"/>
  <c r="Y206" i="40"/>
  <c r="AG213" i="40"/>
  <c r="AF228" i="40"/>
  <c r="AH236" i="40"/>
  <c r="AE238" i="40"/>
  <c r="AJ238" i="40"/>
  <c r="AF238" i="40"/>
  <c r="AE242" i="40"/>
  <c r="Y245" i="40"/>
  <c r="AH251" i="40"/>
  <c r="AF251" i="40"/>
  <c r="Y254" i="40"/>
  <c r="Z254" i="40"/>
  <c r="AE256" i="40"/>
  <c r="AJ256" i="40"/>
  <c r="AI263" i="40"/>
  <c r="Z265" i="40"/>
  <c r="AH272" i="40"/>
  <c r="AE272" i="40"/>
  <c r="AI272" i="40"/>
  <c r="AG272" i="40"/>
  <c r="Y275" i="40"/>
  <c r="AJ290" i="40"/>
  <c r="AI290" i="40"/>
  <c r="AH290" i="40"/>
  <c r="AF290" i="40"/>
  <c r="X291" i="40"/>
  <c r="Y300" i="40"/>
  <c r="X359" i="40"/>
  <c r="Y359" i="40"/>
  <c r="X208" i="40"/>
  <c r="AF233" i="40"/>
  <c r="X237" i="40"/>
  <c r="Y237" i="40"/>
  <c r="AJ245" i="40"/>
  <c r="AH245" i="40"/>
  <c r="AE245" i="40"/>
  <c r="AI252" i="40"/>
  <c r="AH252" i="40"/>
  <c r="AF255" i="40"/>
  <c r="AG255" i="40"/>
  <c r="AI260" i="40"/>
  <c r="AH260" i="40"/>
  <c r="AE265" i="40"/>
  <c r="AI265" i="40"/>
  <c r="AJ277" i="40"/>
  <c r="AI277" i="40"/>
  <c r="Z283" i="40"/>
  <c r="Y283" i="40"/>
  <c r="AJ285" i="40"/>
  <c r="AI285" i="40"/>
  <c r="AH291" i="40"/>
  <c r="AE291" i="40"/>
  <c r="AJ291" i="40"/>
  <c r="AI291" i="40"/>
  <c r="AG291" i="40"/>
  <c r="AF296" i="40"/>
  <c r="AJ296" i="40"/>
  <c r="AE296" i="40"/>
  <c r="AI296" i="40"/>
  <c r="AG296" i="40"/>
  <c r="AI300" i="40"/>
  <c r="AJ300" i="40"/>
  <c r="AI383" i="40"/>
  <c r="AJ383" i="40"/>
  <c r="AF171" i="40"/>
  <c r="AG181" i="40"/>
  <c r="AH183" i="40"/>
  <c r="AH196" i="40"/>
  <c r="X200" i="40"/>
  <c r="AF207" i="40"/>
  <c r="AE214" i="40"/>
  <c r="AG220" i="40"/>
  <c r="AE220" i="40"/>
  <c r="AF225" i="40"/>
  <c r="AF231" i="40"/>
  <c r="AI233" i="40"/>
  <c r="AH238" i="40"/>
  <c r="AJ239" i="40"/>
  <c r="X240" i="40"/>
  <c r="AF243" i="40"/>
  <c r="AG245" i="40"/>
  <c r="AJ248" i="40"/>
  <c r="AF252" i="40"/>
  <c r="AE252" i="40"/>
  <c r="AF254" i="40"/>
  <c r="AH255" i="40"/>
  <c r="AI256" i="40"/>
  <c r="AF260" i="40"/>
  <c r="AE260" i="40"/>
  <c r="X279" i="40"/>
  <c r="Y279" i="40"/>
  <c r="AH296" i="40"/>
  <c r="Y301" i="40"/>
  <c r="AI319" i="40"/>
  <c r="AG319" i="40"/>
  <c r="AH319" i="40"/>
  <c r="AF319" i="40"/>
  <c r="X322" i="40"/>
  <c r="Y329" i="40"/>
  <c r="AI246" i="40"/>
  <c r="X260" i="40"/>
  <c r="X265" i="40"/>
  <c r="AH267" i="40"/>
  <c r="Y272" i="40"/>
  <c r="X273" i="40"/>
  <c r="AE274" i="40"/>
  <c r="AG281" i="40"/>
  <c r="AE281" i="40"/>
  <c r="AJ283" i="40"/>
  <c r="X292" i="40"/>
  <c r="AF293" i="40"/>
  <c r="AF307" i="40"/>
  <c r="AI308" i="40"/>
  <c r="X309" i="40"/>
  <c r="X313" i="40"/>
  <c r="X334" i="40"/>
  <c r="AF341" i="40"/>
  <c r="Y345" i="40"/>
  <c r="AI349" i="40"/>
  <c r="X358" i="40"/>
  <c r="Y361" i="40"/>
  <c r="X391" i="40"/>
  <c r="AJ399" i="40"/>
  <c r="AI399" i="40"/>
  <c r="X293" i="40"/>
  <c r="X342" i="40"/>
  <c r="Y342" i="40"/>
  <c r="AE377" i="40"/>
  <c r="AH377" i="40"/>
  <c r="AE380" i="40"/>
  <c r="AF381" i="40"/>
  <c r="AH381" i="40"/>
  <c r="AI388" i="40"/>
  <c r="AG388" i="40"/>
  <c r="AF388" i="40"/>
  <c r="AF288" i="40"/>
  <c r="X295" i="40"/>
  <c r="X303" i="40"/>
  <c r="AJ307" i="40"/>
  <c r="Y311" i="40"/>
  <c r="AJ317" i="40"/>
  <c r="AH317" i="40"/>
  <c r="AJ359" i="40"/>
  <c r="AI359" i="40"/>
  <c r="AH359" i="40"/>
  <c r="AF359" i="40"/>
  <c r="AI362" i="40"/>
  <c r="AJ377" i="40"/>
  <c r="AG381" i="40"/>
  <c r="AJ388" i="40"/>
  <c r="X239" i="40"/>
  <c r="X241" i="40"/>
  <c r="X242" i="40"/>
  <c r="X245" i="40"/>
  <c r="X248" i="40"/>
  <c r="X252" i="40"/>
  <c r="AF257" i="40"/>
  <c r="X272" i="40"/>
  <c r="AJ274" i="40"/>
  <c r="AE275" i="40"/>
  <c r="X284" i="40"/>
  <c r="AG288" i="40"/>
  <c r="AG289" i="40"/>
  <c r="AE289" i="40"/>
  <c r="AJ292" i="40"/>
  <c r="Y295" i="40"/>
  <c r="AF298" i="40"/>
  <c r="Y303" i="40"/>
  <c r="AH311" i="40"/>
  <c r="X312" i="40"/>
  <c r="AG317" i="40"/>
  <c r="Z320" i="40"/>
  <c r="AH321" i="40"/>
  <c r="AF328" i="40"/>
  <c r="AI328" i="40"/>
  <c r="AH335" i="40"/>
  <c r="AG335" i="40"/>
  <c r="AF335" i="40"/>
  <c r="AI338" i="40"/>
  <c r="AH342" i="40"/>
  <c r="X343" i="40"/>
  <c r="AF344" i="40"/>
  <c r="AI344" i="40"/>
  <c r="AH344" i="40"/>
  <c r="AG344" i="40"/>
  <c r="X351" i="40"/>
  <c r="AG359" i="40"/>
  <c r="AG366" i="40"/>
  <c r="AF368" i="40"/>
  <c r="AE368" i="40"/>
  <c r="AJ368" i="40"/>
  <c r="AH368" i="40"/>
  <c r="AJ374" i="40"/>
  <c r="AE374" i="40"/>
  <c r="AG374" i="40"/>
  <c r="AF376" i="40"/>
  <c r="AI376" i="40"/>
  <c r="AE381" i="40"/>
  <c r="AG385" i="40"/>
  <c r="AI393" i="40"/>
  <c r="AJ393" i="40"/>
  <c r="AH393" i="40"/>
  <c r="X281" i="40"/>
  <c r="AE282" i="40"/>
  <c r="X285" i="40"/>
  <c r="AH288" i="40"/>
  <c r="AH289" i="40"/>
  <c r="AH295" i="40"/>
  <c r="X297" i="40"/>
  <c r="AH298" i="40"/>
  <c r="AH303" i="40"/>
  <c r="X304" i="40"/>
  <c r="AE312" i="40"/>
  <c r="AH313" i="40"/>
  <c r="AF315" i="40"/>
  <c r="X318" i="40"/>
  <c r="Y318" i="40"/>
  <c r="AF320" i="40"/>
  <c r="AJ320" i="40"/>
  <c r="AH320" i="40"/>
  <c r="AI325" i="40"/>
  <c r="AE325" i="40"/>
  <c r="AG325" i="40"/>
  <c r="Y343" i="40"/>
  <c r="Z352" i="40"/>
  <c r="Y353" i="40"/>
  <c r="AI357" i="40"/>
  <c r="AH357" i="40"/>
  <c r="AE359" i="40"/>
  <c r="X360" i="40"/>
  <c r="X368" i="40"/>
  <c r="AH374" i="40"/>
  <c r="X386" i="40"/>
  <c r="Y386" i="40"/>
  <c r="X394" i="40"/>
  <c r="AJ268" i="40"/>
  <c r="AH282" i="40"/>
  <c r="AI283" i="40"/>
  <c r="X283" i="40"/>
  <c r="X287" i="40"/>
  <c r="X300" i="40"/>
  <c r="AI309" i="40"/>
  <c r="AG312" i="40"/>
  <c r="AI320" i="40"/>
  <c r="AJ328" i="40"/>
  <c r="AI341" i="40"/>
  <c r="AH341" i="40"/>
  <c r="AF348" i="40"/>
  <c r="AG357" i="40"/>
  <c r="AJ367" i="40"/>
  <c r="AH367" i="40"/>
  <c r="AH386" i="40"/>
  <c r="X399" i="40"/>
  <c r="AI390" i="40"/>
  <c r="AJ402" i="40"/>
  <c r="AJ404" i="40"/>
  <c r="X316" i="40"/>
  <c r="AI321" i="40"/>
  <c r="AI322" i="40"/>
  <c r="AE327" i="40"/>
  <c r="X328" i="40"/>
  <c r="AI329" i="40"/>
  <c r="AJ329" i="40"/>
  <c r="AE332" i="40"/>
  <c r="Y344" i="40"/>
  <c r="AF360" i="40"/>
  <c r="X362" i="40"/>
  <c r="AI369" i="40"/>
  <c r="AE371" i="40"/>
  <c r="X375" i="40"/>
  <c r="X376" i="40"/>
  <c r="AH390" i="40"/>
  <c r="AF392" i="40"/>
  <c r="X395" i="40"/>
  <c r="AG397" i="40"/>
  <c r="X400" i="40"/>
  <c r="X401" i="40"/>
  <c r="AH402" i="40"/>
  <c r="AE393" i="40"/>
  <c r="AI395" i="40"/>
  <c r="AH397" i="40"/>
  <c r="X403" i="40"/>
  <c r="AG405" i="40"/>
  <c r="X333" i="40"/>
  <c r="X338" i="40"/>
  <c r="AJ339" i="40"/>
  <c r="AH360" i="40"/>
  <c r="AH364" i="40"/>
  <c r="X365" i="40"/>
  <c r="AH366" i="40"/>
  <c r="AJ369" i="40"/>
  <c r="AE375" i="40"/>
  <c r="X377" i="40"/>
  <c r="AG384" i="40"/>
  <c r="AE388" i="40"/>
  <c r="AI392" i="40"/>
  <c r="X396" i="40"/>
  <c r="AE397" i="40"/>
  <c r="AF400" i="40"/>
  <c r="AG401" i="40"/>
  <c r="AF403" i="40"/>
  <c r="AH405" i="40"/>
  <c r="AE320" i="40"/>
  <c r="X321" i="40"/>
  <c r="AF327" i="40"/>
  <c r="AG334" i="40"/>
  <c r="AG336" i="40"/>
  <c r="AH343" i="40"/>
  <c r="AG350" i="40"/>
  <c r="AE350" i="40"/>
  <c r="AH351" i="40"/>
  <c r="AG352" i="40"/>
  <c r="X354" i="40"/>
  <c r="AG358" i="40"/>
  <c r="AE358" i="40"/>
  <c r="AI360" i="40"/>
  <c r="AE367" i="40"/>
  <c r="X369" i="40"/>
  <c r="AF373" i="40"/>
  <c r="AJ384" i="40"/>
  <c r="Y387" i="40"/>
  <c r="X387" i="40"/>
  <c r="AF389" i="40"/>
  <c r="AJ392" i="40"/>
  <c r="AI398" i="40"/>
  <c r="AG400" i="40"/>
  <c r="AH401" i="40"/>
  <c r="X404" i="40"/>
  <c r="AE405" i="40"/>
  <c r="AE319" i="40"/>
  <c r="AE324" i="40"/>
  <c r="X325" i="40"/>
  <c r="AF333" i="40"/>
  <c r="AH334" i="40"/>
  <c r="AH336" i="40"/>
  <c r="AH337" i="40"/>
  <c r="AG342" i="40"/>
  <c r="AE342" i="40"/>
  <c r="X344" i="40"/>
  <c r="AH345" i="40"/>
  <c r="AH350" i="40"/>
  <c r="AH352" i="40"/>
  <c r="X357" i="40"/>
  <c r="AH358" i="40"/>
  <c r="AJ360" i="40"/>
  <c r="X361" i="40"/>
  <c r="AF365" i="40"/>
  <c r="AE373" i="40"/>
  <c r="AI391" i="40"/>
  <c r="AE392" i="40"/>
  <c r="AF396" i="40"/>
  <c r="AH398" i="40"/>
  <c r="AJ401" i="40"/>
  <c r="D11" i="40"/>
  <c r="D9" i="40"/>
  <c r="C10" i="40"/>
  <c r="X93" i="40"/>
  <c r="X105" i="40"/>
  <c r="Y106" i="40"/>
  <c r="AF107" i="40"/>
  <c r="AJ107" i="40"/>
  <c r="AI107" i="40"/>
  <c r="AH107" i="40"/>
  <c r="AE107" i="40"/>
  <c r="AG107" i="40"/>
  <c r="Y117" i="40"/>
  <c r="Y147" i="40"/>
  <c r="AE86" i="40"/>
  <c r="AG86" i="40"/>
  <c r="AF86" i="40"/>
  <c r="AJ86" i="40"/>
  <c r="AJ90" i="40"/>
  <c r="AE90" i="40"/>
  <c r="AG90" i="40"/>
  <c r="AF90" i="40"/>
  <c r="Y94" i="40"/>
  <c r="Z95" i="40"/>
  <c r="Y127" i="40"/>
  <c r="Y139" i="40"/>
  <c r="Y165" i="40"/>
  <c r="AA175" i="40"/>
  <c r="AA192" i="40"/>
  <c r="Z209" i="40"/>
  <c r="AJ95" i="40"/>
  <c r="AH95" i="40"/>
  <c r="AE95" i="40"/>
  <c r="AG95" i="40"/>
  <c r="AF95" i="40"/>
  <c r="Z110" i="40"/>
  <c r="Y115" i="40"/>
  <c r="Y125" i="40"/>
  <c r="Z191" i="40"/>
  <c r="D8" i="40"/>
  <c r="AI95" i="40"/>
  <c r="X101" i="40"/>
  <c r="Y102" i="40"/>
  <c r="Y135" i="40"/>
  <c r="Z174" i="40"/>
  <c r="AA199" i="40"/>
  <c r="C7" i="40"/>
  <c r="C6" i="40"/>
  <c r="AH87" i="40"/>
  <c r="AE87" i="40"/>
  <c r="AG87" i="40"/>
  <c r="AH91" i="40"/>
  <c r="AE91" i="40"/>
  <c r="AG91" i="40"/>
  <c r="AJ103" i="40"/>
  <c r="AH103" i="40"/>
  <c r="AE103" i="40"/>
  <c r="AG103" i="40"/>
  <c r="AF103" i="40"/>
  <c r="Z118" i="40"/>
  <c r="Y123" i="40"/>
  <c r="Y133" i="40"/>
  <c r="Y181" i="40"/>
  <c r="AA184" i="40"/>
  <c r="X88" i="40"/>
  <c r="Y111" i="40"/>
  <c r="Y157" i="40"/>
  <c r="Y173" i="40"/>
  <c r="Z185" i="40"/>
  <c r="X97" i="40"/>
  <c r="Y98" i="40"/>
  <c r="Z99" i="40"/>
  <c r="Y109" i="40"/>
  <c r="Z126" i="40"/>
  <c r="Y131" i="40"/>
  <c r="Y149" i="40"/>
  <c r="Z207" i="40"/>
  <c r="AF99" i="40"/>
  <c r="AJ99" i="40"/>
  <c r="AH99" i="40"/>
  <c r="AE99" i="40"/>
  <c r="AG99" i="40"/>
  <c r="Y107" i="40"/>
  <c r="Y119" i="40"/>
  <c r="Y141" i="40"/>
  <c r="AA151" i="40"/>
  <c r="Y155" i="40"/>
  <c r="AH92" i="40"/>
  <c r="AI93" i="40"/>
  <c r="AJ94" i="40"/>
  <c r="AF98" i="40"/>
  <c r="AH100" i="40"/>
  <c r="AI101" i="40"/>
  <c r="AJ102" i="40"/>
  <c r="AF106" i="40"/>
  <c r="AH108" i="40"/>
  <c r="AI109" i="40"/>
  <c r="X109" i="40"/>
  <c r="AJ110" i="40"/>
  <c r="Y110" i="40"/>
  <c r="AF114" i="40"/>
  <c r="AG115" i="40"/>
  <c r="AE115" i="40"/>
  <c r="AH116" i="40"/>
  <c r="AI117" i="40"/>
  <c r="X117" i="40"/>
  <c r="AJ118" i="40"/>
  <c r="Y118" i="40"/>
  <c r="AF122" i="40"/>
  <c r="AG123" i="40"/>
  <c r="AE123" i="40"/>
  <c r="AH124" i="40"/>
  <c r="AI125" i="40"/>
  <c r="X125" i="40"/>
  <c r="AJ126" i="40"/>
  <c r="Y126" i="40"/>
  <c r="AF130" i="40"/>
  <c r="AG131" i="40"/>
  <c r="AE131" i="40"/>
  <c r="AH132" i="40"/>
  <c r="AI133" i="40"/>
  <c r="X133" i="40"/>
  <c r="AJ134" i="40"/>
  <c r="AF138" i="40"/>
  <c r="AG139" i="40"/>
  <c r="AE139" i="40"/>
  <c r="AH140" i="40"/>
  <c r="AI141" i="40"/>
  <c r="X141" i="40"/>
  <c r="AJ142" i="40"/>
  <c r="AF146" i="40"/>
  <c r="AG147" i="40"/>
  <c r="AE147" i="40"/>
  <c r="AH148" i="40"/>
  <c r="AI149" i="40"/>
  <c r="X149" i="40"/>
  <c r="AJ150" i="40"/>
  <c r="Z151" i="40"/>
  <c r="AF154" i="40"/>
  <c r="AG155" i="40"/>
  <c r="AE155" i="40"/>
  <c r="AH156" i="40"/>
  <c r="AI157" i="40"/>
  <c r="X157" i="40"/>
  <c r="AJ158" i="40"/>
  <c r="Y158" i="40"/>
  <c r="AF162" i="40"/>
  <c r="AG163" i="40"/>
  <c r="AE163" i="40"/>
  <c r="AH164" i="40"/>
  <c r="AI165" i="40"/>
  <c r="X165" i="40"/>
  <c r="AJ166" i="40"/>
  <c r="Y166" i="40"/>
  <c r="AF170" i="40"/>
  <c r="AG171" i="40"/>
  <c r="AE171" i="40"/>
  <c r="AH172" i="40"/>
  <c r="X173" i="40"/>
  <c r="AJ174" i="40"/>
  <c r="Y174" i="40"/>
  <c r="Z175" i="40"/>
  <c r="AF178" i="40"/>
  <c r="AG179" i="40"/>
  <c r="AE179" i="40"/>
  <c r="AH180" i="40"/>
  <c r="AI181" i="40"/>
  <c r="X181" i="40"/>
  <c r="AI184" i="40"/>
  <c r="AH185" i="40"/>
  <c r="AE185" i="40"/>
  <c r="AG185" i="40"/>
  <c r="AF187" i="40"/>
  <c r="AG189" i="40"/>
  <c r="AJ190" i="40"/>
  <c r="AF193" i="40"/>
  <c r="AJ193" i="40"/>
  <c r="AH193" i="40"/>
  <c r="AE193" i="40"/>
  <c r="AG193" i="40"/>
  <c r="X199" i="40"/>
  <c r="AF203" i="40"/>
  <c r="AE216" i="40"/>
  <c r="Y239" i="40"/>
  <c r="Y263" i="40"/>
  <c r="AF89" i="40"/>
  <c r="AJ93" i="40"/>
  <c r="AF97" i="40"/>
  <c r="AG98" i="40"/>
  <c r="AE98" i="40"/>
  <c r="AJ101" i="40"/>
  <c r="AF105" i="40"/>
  <c r="AG106" i="40"/>
  <c r="AE106" i="40"/>
  <c r="AJ109" i="40"/>
  <c r="AF113" i="40"/>
  <c r="AG114" i="40"/>
  <c r="AE114" i="40"/>
  <c r="AH115" i="40"/>
  <c r="AJ117" i="40"/>
  <c r="AF121" i="40"/>
  <c r="AG122" i="40"/>
  <c r="AE122" i="40"/>
  <c r="AH123" i="40"/>
  <c r="AJ125" i="40"/>
  <c r="AF129" i="40"/>
  <c r="AG130" i="40"/>
  <c r="AE130" i="40"/>
  <c r="AH131" i="40"/>
  <c r="AJ133" i="40"/>
  <c r="AF137" i="40"/>
  <c r="AG138" i="40"/>
  <c r="AE138" i="40"/>
  <c r="AH139" i="40"/>
  <c r="AJ141" i="40"/>
  <c r="AF145" i="40"/>
  <c r="AG146" i="40"/>
  <c r="AE146" i="40"/>
  <c r="AH147" i="40"/>
  <c r="AJ149" i="40"/>
  <c r="AF153" i="40"/>
  <c r="AG154" i="40"/>
  <c r="AE154" i="40"/>
  <c r="AH155" i="40"/>
  <c r="AG162" i="40"/>
  <c r="AE162" i="40"/>
  <c r="AH163" i="40"/>
  <c r="AG170" i="40"/>
  <c r="AE170" i="40"/>
  <c r="AH171" i="40"/>
  <c r="AG178" i="40"/>
  <c r="AE178" i="40"/>
  <c r="AH179" i="40"/>
  <c r="AJ181" i="40"/>
  <c r="AE183" i="40"/>
  <c r="AF185" i="40"/>
  <c r="AE186" i="40"/>
  <c r="AI186" i="40"/>
  <c r="AH186" i="40"/>
  <c r="AG187" i="40"/>
  <c r="Y188" i="40"/>
  <c r="AH189" i="40"/>
  <c r="AH206" i="40"/>
  <c r="X212" i="40"/>
  <c r="Y235" i="40"/>
  <c r="Y241" i="40"/>
  <c r="AA276" i="40"/>
  <c r="AI115" i="40"/>
  <c r="AI123" i="40"/>
  <c r="AI131" i="40"/>
  <c r="AI139" i="40"/>
  <c r="AI147" i="40"/>
  <c r="AI155" i="40"/>
  <c r="AI163" i="40"/>
  <c r="AI171" i="40"/>
  <c r="AI179" i="40"/>
  <c r="Z184" i="40"/>
  <c r="AF186" i="40"/>
  <c r="AJ197" i="40"/>
  <c r="AF197" i="40"/>
  <c r="Z199" i="40"/>
  <c r="AF201" i="40"/>
  <c r="AJ201" i="40"/>
  <c r="AH201" i="40"/>
  <c r="AE201" i="40"/>
  <c r="AG201" i="40"/>
  <c r="AE210" i="40"/>
  <c r="AG210" i="40"/>
  <c r="AF210" i="40"/>
  <c r="AJ210" i="40"/>
  <c r="AI210" i="40"/>
  <c r="AH210" i="40"/>
  <c r="Y227" i="40"/>
  <c r="Z240" i="40"/>
  <c r="Y251" i="40"/>
  <c r="Y255" i="40"/>
  <c r="AI98" i="40"/>
  <c r="AI106" i="40"/>
  <c r="AF111" i="40"/>
  <c r="AI114" i="40"/>
  <c r="AJ115" i="40"/>
  <c r="AF119" i="40"/>
  <c r="AI122" i="40"/>
  <c r="AJ123" i="40"/>
  <c r="AF127" i="40"/>
  <c r="AI130" i="40"/>
  <c r="AJ131" i="40"/>
  <c r="AF135" i="40"/>
  <c r="AI138" i="40"/>
  <c r="AJ139" i="40"/>
  <c r="AF143" i="40"/>
  <c r="AI146" i="40"/>
  <c r="AJ147" i="40"/>
  <c r="AF151" i="40"/>
  <c r="AI154" i="40"/>
  <c r="AJ155" i="40"/>
  <c r="AF159" i="40"/>
  <c r="AI162" i="40"/>
  <c r="AJ163" i="40"/>
  <c r="AF167" i="40"/>
  <c r="AI170" i="40"/>
  <c r="AJ171" i="40"/>
  <c r="AF175" i="40"/>
  <c r="AI178" i="40"/>
  <c r="AJ179" i="40"/>
  <c r="Y185" i="40"/>
  <c r="AI188" i="40"/>
  <c r="AJ188" i="40"/>
  <c r="AE194" i="40"/>
  <c r="AG194" i="40"/>
  <c r="AI194" i="40"/>
  <c r="AH194" i="40"/>
  <c r="X195" i="40"/>
  <c r="AG197" i="40"/>
  <c r="AI201" i="40"/>
  <c r="AF209" i="40"/>
  <c r="Y219" i="40"/>
  <c r="Y257" i="40"/>
  <c r="AH88" i="40"/>
  <c r="AI89" i="40"/>
  <c r="AF94" i="40"/>
  <c r="AH96" i="40"/>
  <c r="AI97" i="40"/>
  <c r="AF102" i="40"/>
  <c r="AH104" i="40"/>
  <c r="AI105" i="40"/>
  <c r="AF110" i="40"/>
  <c r="AG111" i="40"/>
  <c r="AE111" i="40"/>
  <c r="AH112" i="40"/>
  <c r="AI113" i="40"/>
  <c r="AF118" i="40"/>
  <c r="AG119" i="40"/>
  <c r="AE119" i="40"/>
  <c r="AH120" i="40"/>
  <c r="AI121" i="40"/>
  <c r="AF126" i="40"/>
  <c r="AG127" i="40"/>
  <c r="AE127" i="40"/>
  <c r="AH128" i="40"/>
  <c r="AI129" i="40"/>
  <c r="AF134" i="40"/>
  <c r="AG135" i="40"/>
  <c r="AE135" i="40"/>
  <c r="AI137" i="40"/>
  <c r="AF142" i="40"/>
  <c r="AG143" i="40"/>
  <c r="AE143" i="40"/>
  <c r="AH144" i="40"/>
  <c r="AF150" i="40"/>
  <c r="AG151" i="40"/>
  <c r="AE151" i="40"/>
  <c r="AH152" i="40"/>
  <c r="AF158" i="40"/>
  <c r="AG159" i="40"/>
  <c r="AE159" i="40"/>
  <c r="AH160" i="40"/>
  <c r="AF166" i="40"/>
  <c r="AG167" i="40"/>
  <c r="AE167" i="40"/>
  <c r="AH168" i="40"/>
  <c r="AF174" i="40"/>
  <c r="AG175" i="40"/>
  <c r="AE175" i="40"/>
  <c r="AH176" i="40"/>
  <c r="AJ186" i="40"/>
  <c r="X187" i="40"/>
  <c r="AF188" i="40"/>
  <c r="Y192" i="40"/>
  <c r="Y193" i="40"/>
  <c r="AF194" i="40"/>
  <c r="AH197" i="40"/>
  <c r="AJ205" i="40"/>
  <c r="AF205" i="40"/>
  <c r="Z256" i="40"/>
  <c r="Z264" i="40"/>
  <c r="AG94" i="40"/>
  <c r="AE94" i="40"/>
  <c r="AG102" i="40"/>
  <c r="AE102" i="40"/>
  <c r="AG110" i="40"/>
  <c r="AE110" i="40"/>
  <c r="AH111" i="40"/>
  <c r="AG118" i="40"/>
  <c r="AE118" i="40"/>
  <c r="AH119" i="40"/>
  <c r="AG126" i="40"/>
  <c r="AE126" i="40"/>
  <c r="AH127" i="40"/>
  <c r="AG134" i="40"/>
  <c r="AE134" i="40"/>
  <c r="AH135" i="40"/>
  <c r="AG142" i="40"/>
  <c r="AE142" i="40"/>
  <c r="AH143" i="40"/>
  <c r="AG150" i="40"/>
  <c r="AE150" i="40"/>
  <c r="AH151" i="40"/>
  <c r="AG158" i="40"/>
  <c r="AE158" i="40"/>
  <c r="AH159" i="40"/>
  <c r="AG166" i="40"/>
  <c r="AE166" i="40"/>
  <c r="AH167" i="40"/>
  <c r="AG174" i="40"/>
  <c r="AH175" i="40"/>
  <c r="X186" i="40"/>
  <c r="AG188" i="40"/>
  <c r="X191" i="40"/>
  <c r="Z192" i="40"/>
  <c r="AJ194" i="40"/>
  <c r="AH195" i="40"/>
  <c r="AJ195" i="40"/>
  <c r="AI195" i="40"/>
  <c r="Y196" i="40"/>
  <c r="AI197" i="40"/>
  <c r="AE202" i="40"/>
  <c r="AG202" i="40"/>
  <c r="AI202" i="40"/>
  <c r="AH202" i="40"/>
  <c r="X203" i="40"/>
  <c r="AG205" i="40"/>
  <c r="Z206" i="40"/>
  <c r="AI207" i="40"/>
  <c r="X207" i="40"/>
  <c r="Y211" i="40"/>
  <c r="AH212" i="40"/>
  <c r="AJ214" i="40"/>
  <c r="Y233" i="40"/>
  <c r="Y243" i="40"/>
  <c r="AA265" i="40"/>
  <c r="AA284" i="40"/>
  <c r="AI111" i="40"/>
  <c r="AI119" i="40"/>
  <c r="AI127" i="40"/>
  <c r="AI135" i="40"/>
  <c r="AI143" i="40"/>
  <c r="AI151" i="40"/>
  <c r="AI159" i="40"/>
  <c r="AI167" i="40"/>
  <c r="AI175" i="40"/>
  <c r="AE184" i="40"/>
  <c r="AG184" i="40"/>
  <c r="AF184" i="40"/>
  <c r="AH188" i="40"/>
  <c r="Y191" i="40"/>
  <c r="AE197" i="40"/>
  <c r="AH211" i="40"/>
  <c r="AE211" i="40"/>
  <c r="AG211" i="40"/>
  <c r="AJ211" i="40"/>
  <c r="AI211" i="40"/>
  <c r="Y225" i="40"/>
  <c r="Y231" i="40"/>
  <c r="Y249" i="40"/>
  <c r="AA268" i="40"/>
  <c r="AH184" i="40"/>
  <c r="AH187" i="40"/>
  <c r="AJ187" i="40"/>
  <c r="AI187" i="40"/>
  <c r="AJ189" i="40"/>
  <c r="AF189" i="40"/>
  <c r="AG195" i="40"/>
  <c r="AH203" i="40"/>
  <c r="AJ203" i="40"/>
  <c r="AI203" i="40"/>
  <c r="AE208" i="40"/>
  <c r="Y209" i="40"/>
  <c r="AF211" i="40"/>
  <c r="Y217" i="40"/>
  <c r="Y223" i="40"/>
  <c r="Z248" i="40"/>
  <c r="Y259" i="40"/>
  <c r="Z267" i="40"/>
  <c r="AF192" i="40"/>
  <c r="AJ196" i="40"/>
  <c r="AF200" i="40"/>
  <c r="AJ204" i="40"/>
  <c r="AF208" i="40"/>
  <c r="AG209" i="40"/>
  <c r="AE209" i="40"/>
  <c r="X211" i="40"/>
  <c r="AJ212" i="40"/>
  <c r="AF216" i="40"/>
  <c r="AG217" i="40"/>
  <c r="AE217" i="40"/>
  <c r="AH218" i="40"/>
  <c r="AI219" i="40"/>
  <c r="X219" i="40"/>
  <c r="AJ220" i="40"/>
  <c r="AF224" i="40"/>
  <c r="AG225" i="40"/>
  <c r="AE225" i="40"/>
  <c r="AH226" i="40"/>
  <c r="AI227" i="40"/>
  <c r="X227" i="40"/>
  <c r="AJ228" i="40"/>
  <c r="AF232" i="40"/>
  <c r="AG233" i="40"/>
  <c r="AE233" i="40"/>
  <c r="AH234" i="40"/>
  <c r="AI235" i="40"/>
  <c r="X235" i="40"/>
  <c r="AJ236" i="40"/>
  <c r="AF240" i="40"/>
  <c r="AG241" i="40"/>
  <c r="AE241" i="40"/>
  <c r="AH242" i="40"/>
  <c r="AI243" i="40"/>
  <c r="X243" i="40"/>
  <c r="AJ244" i="40"/>
  <c r="AF248" i="40"/>
  <c r="AG249" i="40"/>
  <c r="AE249" i="40"/>
  <c r="AH250" i="40"/>
  <c r="AI251" i="40"/>
  <c r="X251" i="40"/>
  <c r="AJ252" i="40"/>
  <c r="AF256" i="40"/>
  <c r="AG257" i="40"/>
  <c r="AE257" i="40"/>
  <c r="AH258" i="40"/>
  <c r="AI259" i="40"/>
  <c r="X259" i="40"/>
  <c r="AJ260" i="40"/>
  <c r="AF264" i="40"/>
  <c r="AG265" i="40"/>
  <c r="AH268" i="40"/>
  <c r="Y268" i="40"/>
  <c r="AG270" i="40"/>
  <c r="Y271" i="40"/>
  <c r="AI273" i="40"/>
  <c r="AF273" i="40"/>
  <c r="AE278" i="40"/>
  <c r="AG278" i="40"/>
  <c r="AF278" i="40"/>
  <c r="AJ278" i="40"/>
  <c r="AI278" i="40"/>
  <c r="AH278" i="40"/>
  <c r="X280" i="40"/>
  <c r="AE286" i="40"/>
  <c r="AG286" i="40"/>
  <c r="AF286" i="40"/>
  <c r="AJ286" i="40"/>
  <c r="AI286" i="40"/>
  <c r="AH286" i="40"/>
  <c r="X288" i="40"/>
  <c r="Y299" i="40"/>
  <c r="Z300" i="40"/>
  <c r="AG192" i="40"/>
  <c r="AG200" i="40"/>
  <c r="AE200" i="40"/>
  <c r="AG208" i="40"/>
  <c r="AH209" i="40"/>
  <c r="AG216" i="40"/>
  <c r="AH217" i="40"/>
  <c r="AI218" i="40"/>
  <c r="AJ219" i="40"/>
  <c r="AG224" i="40"/>
  <c r="AE224" i="40"/>
  <c r="AH225" i="40"/>
  <c r="AI226" i="40"/>
  <c r="AJ227" i="40"/>
  <c r="AG232" i="40"/>
  <c r="AE232" i="40"/>
  <c r="AH233" i="40"/>
  <c r="AI234" i="40"/>
  <c r="AJ235" i="40"/>
  <c r="AG240" i="40"/>
  <c r="AH241" i="40"/>
  <c r="AI242" i="40"/>
  <c r="AJ243" i="40"/>
  <c r="AG248" i="40"/>
  <c r="AH249" i="40"/>
  <c r="AI250" i="40"/>
  <c r="AJ251" i="40"/>
  <c r="AG256" i="40"/>
  <c r="AH257" i="40"/>
  <c r="AI258" i="40"/>
  <c r="AJ259" i="40"/>
  <c r="AG264" i="40"/>
  <c r="AH265" i="40"/>
  <c r="Z268" i="40"/>
  <c r="Z274" i="40"/>
  <c r="Z276" i="40"/>
  <c r="AF277" i="40"/>
  <c r="Z284" i="40"/>
  <c r="AF285" i="40"/>
  <c r="Z327" i="40"/>
  <c r="Z336" i="40"/>
  <c r="AJ218" i="40"/>
  <c r="AJ226" i="40"/>
  <c r="AJ234" i="40"/>
  <c r="AJ242" i="40"/>
  <c r="AJ250" i="40"/>
  <c r="AJ258" i="40"/>
  <c r="AE271" i="40"/>
  <c r="AG271" i="40"/>
  <c r="AJ271" i="40"/>
  <c r="AI271" i="40"/>
  <c r="Z272" i="40"/>
  <c r="Y281" i="40"/>
  <c r="Y289" i="40"/>
  <c r="AA337" i="40"/>
  <c r="AJ209" i="40"/>
  <c r="AF213" i="40"/>
  <c r="AJ217" i="40"/>
  <c r="AF221" i="40"/>
  <c r="AJ225" i="40"/>
  <c r="AF229" i="40"/>
  <c r="AJ233" i="40"/>
  <c r="AF237" i="40"/>
  <c r="AJ241" i="40"/>
  <c r="AF245" i="40"/>
  <c r="AJ249" i="40"/>
  <c r="AF253" i="40"/>
  <c r="AJ257" i="40"/>
  <c r="AF261" i="40"/>
  <c r="AJ265" i="40"/>
  <c r="X267" i="40"/>
  <c r="X268" i="40"/>
  <c r="AF271" i="40"/>
  <c r="AA313" i="40"/>
  <c r="AA353" i="40"/>
  <c r="AG261" i="40"/>
  <c r="AE261" i="40"/>
  <c r="X270" i="40"/>
  <c r="AH271" i="40"/>
  <c r="X276" i="40"/>
  <c r="Y293" i="40"/>
  <c r="AF219" i="40"/>
  <c r="AF227" i="40"/>
  <c r="AF235" i="40"/>
  <c r="AF259" i="40"/>
  <c r="AH261" i="40"/>
  <c r="Y277" i="40"/>
  <c r="AH279" i="40"/>
  <c r="AE279" i="40"/>
  <c r="AG279" i="40"/>
  <c r="AJ279" i="40"/>
  <c r="AI279" i="40"/>
  <c r="Y285" i="40"/>
  <c r="AH287" i="40"/>
  <c r="AE287" i="40"/>
  <c r="AG287" i="40"/>
  <c r="AJ287" i="40"/>
  <c r="AI287" i="40"/>
  <c r="AI213" i="40"/>
  <c r="AF218" i="40"/>
  <c r="AG219" i="40"/>
  <c r="AE219" i="40"/>
  <c r="AI221" i="40"/>
  <c r="AF226" i="40"/>
  <c r="AG227" i="40"/>
  <c r="AE227" i="40"/>
  <c r="AI229" i="40"/>
  <c r="AF234" i="40"/>
  <c r="AG235" i="40"/>
  <c r="AE235" i="40"/>
  <c r="AI237" i="40"/>
  <c r="AF242" i="40"/>
  <c r="AG243" i="40"/>
  <c r="AE243" i="40"/>
  <c r="AI245" i="40"/>
  <c r="AF250" i="40"/>
  <c r="AG251" i="40"/>
  <c r="AE251" i="40"/>
  <c r="AI253" i="40"/>
  <c r="AF258" i="40"/>
  <c r="AG259" i="40"/>
  <c r="AE259" i="40"/>
  <c r="AI261" i="40"/>
  <c r="AF279" i="40"/>
  <c r="AJ282" i="40"/>
  <c r="AF287" i="40"/>
  <c r="Y307" i="40"/>
  <c r="AG218" i="40"/>
  <c r="AG226" i="40"/>
  <c r="AG234" i="40"/>
  <c r="AG242" i="40"/>
  <c r="AG250" i="40"/>
  <c r="AG258" i="40"/>
  <c r="AF265" i="40"/>
  <c r="AI268" i="40"/>
  <c r="AE268" i="40"/>
  <c r="AG268" i="40"/>
  <c r="AF268" i="40"/>
  <c r="AF270" i="40"/>
  <c r="AI270" i="40"/>
  <c r="AH270" i="40"/>
  <c r="X271" i="40"/>
  <c r="Z314" i="40"/>
  <c r="AC322" i="40"/>
  <c r="AB322" i="40"/>
  <c r="AG269" i="40"/>
  <c r="AE269" i="40"/>
  <c r="AJ272" i="40"/>
  <c r="AF276" i="40"/>
  <c r="AG277" i="40"/>
  <c r="AE277" i="40"/>
  <c r="AF284" i="40"/>
  <c r="AG285" i="40"/>
  <c r="AE285" i="40"/>
  <c r="AF292" i="40"/>
  <c r="AG293" i="40"/>
  <c r="AE293" i="40"/>
  <c r="AH294" i="40"/>
  <c r="AI295" i="40"/>
  <c r="AF300" i="40"/>
  <c r="AG301" i="40"/>
  <c r="AE301" i="40"/>
  <c r="AH302" i="40"/>
  <c r="AI303" i="40"/>
  <c r="AF308" i="40"/>
  <c r="AG309" i="40"/>
  <c r="AE309" i="40"/>
  <c r="AH310" i="40"/>
  <c r="AI311" i="40"/>
  <c r="AJ312" i="40"/>
  <c r="AE313" i="40"/>
  <c r="AG313" i="40"/>
  <c r="AF313" i="40"/>
  <c r="AJ319" i="40"/>
  <c r="Z322" i="40"/>
  <c r="Z337" i="40"/>
  <c r="X341" i="40"/>
  <c r="Y348" i="40"/>
  <c r="AH349" i="40"/>
  <c r="AJ351" i="40"/>
  <c r="Y354" i="40"/>
  <c r="Z361" i="40"/>
  <c r="Y372" i="40"/>
  <c r="AF267" i="40"/>
  <c r="AH269" i="40"/>
  <c r="AF275" i="40"/>
  <c r="AG276" i="40"/>
  <c r="AE276" i="40"/>
  <c r="AH277" i="40"/>
  <c r="AF283" i="40"/>
  <c r="AG284" i="40"/>
  <c r="AE284" i="40"/>
  <c r="AH285" i="40"/>
  <c r="AF291" i="40"/>
  <c r="AG292" i="40"/>
  <c r="AE292" i="40"/>
  <c r="AH293" i="40"/>
  <c r="AI294" i="40"/>
  <c r="AJ295" i="40"/>
  <c r="AF299" i="40"/>
  <c r="AG300" i="40"/>
  <c r="AE300" i="40"/>
  <c r="AH301" i="40"/>
  <c r="AI302" i="40"/>
  <c r="AJ303" i="40"/>
  <c r="AG308" i="40"/>
  <c r="AE308" i="40"/>
  <c r="AH309" i="40"/>
  <c r="AI310" i="40"/>
  <c r="AJ311" i="40"/>
  <c r="AE317" i="40"/>
  <c r="AA322" i="40"/>
  <c r="AH325" i="40"/>
  <c r="AJ326" i="40"/>
  <c r="AF326" i="40"/>
  <c r="AF330" i="40"/>
  <c r="AJ330" i="40"/>
  <c r="AH330" i="40"/>
  <c r="AE330" i="40"/>
  <c r="AG330" i="40"/>
  <c r="X336" i="40"/>
  <c r="AH348" i="40"/>
  <c r="AE348" i="40"/>
  <c r="AG348" i="40"/>
  <c r="AJ348" i="40"/>
  <c r="AI348" i="40"/>
  <c r="AE355" i="40"/>
  <c r="AG355" i="40"/>
  <c r="AF355" i="40"/>
  <c r="AJ355" i="40"/>
  <c r="AI355" i="40"/>
  <c r="AH355" i="40"/>
  <c r="Y364" i="40"/>
  <c r="AH276" i="40"/>
  <c r="AH284" i="40"/>
  <c r="AH292" i="40"/>
  <c r="AJ294" i="40"/>
  <c r="AH300" i="40"/>
  <c r="AJ302" i="40"/>
  <c r="AH308" i="40"/>
  <c r="AJ310" i="40"/>
  <c r="AH314" i="40"/>
  <c r="AE314" i="40"/>
  <c r="AG314" i="40"/>
  <c r="AE318" i="40"/>
  <c r="AE323" i="40"/>
  <c r="AG323" i="40"/>
  <c r="AI323" i="40"/>
  <c r="AH323" i="40"/>
  <c r="X324" i="40"/>
  <c r="Y327" i="40"/>
  <c r="Y336" i="40"/>
  <c r="Z351" i="40"/>
  <c r="AG266" i="40"/>
  <c r="AE266" i="40"/>
  <c r="AG274" i="40"/>
  <c r="AF281" i="40"/>
  <c r="AG282" i="40"/>
  <c r="AF289" i="40"/>
  <c r="AG290" i="40"/>
  <c r="AE290" i="40"/>
  <c r="AF297" i="40"/>
  <c r="AG298" i="40"/>
  <c r="AE298" i="40"/>
  <c r="AF305" i="40"/>
  <c r="AG306" i="40"/>
  <c r="AE306" i="40"/>
  <c r="AF314" i="40"/>
  <c r="AI315" i="40"/>
  <c r="AH315" i="40"/>
  <c r="AJ316" i="40"/>
  <c r="AI316" i="40"/>
  <c r="AF317" i="40"/>
  <c r="AF318" i="40"/>
  <c r="Y322" i="40"/>
  <c r="AF323" i="40"/>
  <c r="AH326" i="40"/>
  <c r="AJ334" i="40"/>
  <c r="AF334" i="40"/>
  <c r="AF338" i="40"/>
  <c r="AJ338" i="40"/>
  <c r="AH338" i="40"/>
  <c r="AE338" i="40"/>
  <c r="AG338" i="40"/>
  <c r="AF354" i="40"/>
  <c r="Y356" i="40"/>
  <c r="Z313" i="40"/>
  <c r="AH324" i="40"/>
  <c r="AJ324" i="40"/>
  <c r="AI324" i="40"/>
  <c r="Y325" i="40"/>
  <c r="AE331" i="40"/>
  <c r="AG331" i="40"/>
  <c r="AI331" i="40"/>
  <c r="AH331" i="40"/>
  <c r="X332" i="40"/>
  <c r="Y340" i="40"/>
  <c r="Y346" i="40"/>
  <c r="X349" i="40"/>
  <c r="AH356" i="40"/>
  <c r="AE356" i="40"/>
  <c r="AG356" i="40"/>
  <c r="AF356" i="40"/>
  <c r="AJ356" i="40"/>
  <c r="AI356" i="40"/>
  <c r="Y370" i="40"/>
  <c r="Y376" i="40"/>
  <c r="Z383" i="40"/>
  <c r="AF295" i="40"/>
  <c r="AF303" i="40"/>
  <c r="AF311" i="40"/>
  <c r="Y314" i="40"/>
  <c r="AF324" i="40"/>
  <c r="AF331" i="40"/>
  <c r="AH340" i="40"/>
  <c r="AE340" i="40"/>
  <c r="AG340" i="40"/>
  <c r="AJ340" i="40"/>
  <c r="AI340" i="40"/>
  <c r="AE347" i="40"/>
  <c r="AG347" i="40"/>
  <c r="AF347" i="40"/>
  <c r="AJ347" i="40"/>
  <c r="AI347" i="40"/>
  <c r="AH347" i="40"/>
  <c r="Y362" i="40"/>
  <c r="Y368" i="40"/>
  <c r="Z379" i="40"/>
  <c r="AI281" i="40"/>
  <c r="AI289" i="40"/>
  <c r="AF294" i="40"/>
  <c r="AG295" i="40"/>
  <c r="AE295" i="40"/>
  <c r="AI297" i="40"/>
  <c r="AF302" i="40"/>
  <c r="AG303" i="40"/>
  <c r="AE303" i="40"/>
  <c r="AI305" i="40"/>
  <c r="AF310" i="40"/>
  <c r="AG311" i="40"/>
  <c r="AE311" i="40"/>
  <c r="AI317" i="40"/>
  <c r="AI318" i="40"/>
  <c r="AG324" i="40"/>
  <c r="AJ331" i="40"/>
  <c r="AH332" i="40"/>
  <c r="AJ332" i="40"/>
  <c r="AI332" i="40"/>
  <c r="AI334" i="40"/>
  <c r="AE339" i="40"/>
  <c r="AG339" i="40"/>
  <c r="AI339" i="40"/>
  <c r="AH339" i="40"/>
  <c r="AF340" i="40"/>
  <c r="Z377" i="40"/>
  <c r="AG294" i="40"/>
  <c r="AG302" i="40"/>
  <c r="AG310" i="40"/>
  <c r="X315" i="40"/>
  <c r="AF322" i="40"/>
  <c r="AJ322" i="40"/>
  <c r="AH322" i="40"/>
  <c r="AE322" i="40"/>
  <c r="AG322" i="40"/>
  <c r="Y337" i="40"/>
  <c r="AF339" i="40"/>
  <c r="Y360" i="40"/>
  <c r="Z369" i="40"/>
  <c r="AF321" i="40"/>
  <c r="AJ325" i="40"/>
  <c r="AF329" i="40"/>
  <c r="AJ333" i="40"/>
  <c r="AF337" i="40"/>
  <c r="X340" i="40"/>
  <c r="AJ341" i="40"/>
  <c r="AF345" i="40"/>
  <c r="AG346" i="40"/>
  <c r="AE346" i="40"/>
  <c r="X348" i="40"/>
  <c r="AJ349" i="40"/>
  <c r="AF353" i="40"/>
  <c r="AG354" i="40"/>
  <c r="AE354" i="40"/>
  <c r="X356" i="40"/>
  <c r="AJ357" i="40"/>
  <c r="AF361" i="40"/>
  <c r="AG362" i="40"/>
  <c r="AE362" i="40"/>
  <c r="AH363" i="40"/>
  <c r="AI364" i="40"/>
  <c r="X364" i="40"/>
  <c r="AJ365" i="40"/>
  <c r="AF369" i="40"/>
  <c r="AG370" i="40"/>
  <c r="AE370" i="40"/>
  <c r="AH371" i="40"/>
  <c r="AI372" i="40"/>
  <c r="X372" i="40"/>
  <c r="AJ373" i="40"/>
  <c r="AF377" i="40"/>
  <c r="AF379" i="40"/>
  <c r="X380" i="40"/>
  <c r="AF383" i="40"/>
  <c r="AF387" i="40"/>
  <c r="AJ387" i="40"/>
  <c r="AH387" i="40"/>
  <c r="AE387" i="40"/>
  <c r="AG387" i="40"/>
  <c r="Y394" i="40"/>
  <c r="AG321" i="40"/>
  <c r="AE321" i="40"/>
  <c r="AG329" i="40"/>
  <c r="AE329" i="40"/>
  <c r="AG337" i="40"/>
  <c r="AE337" i="40"/>
  <c r="AG345" i="40"/>
  <c r="AE345" i="40"/>
  <c r="AH346" i="40"/>
  <c r="AG353" i="40"/>
  <c r="AE353" i="40"/>
  <c r="AH354" i="40"/>
  <c r="AG361" i="40"/>
  <c r="AE361" i="40"/>
  <c r="AH362" i="40"/>
  <c r="AI363" i="40"/>
  <c r="AJ364" i="40"/>
  <c r="AG369" i="40"/>
  <c r="AE369" i="40"/>
  <c r="AH370" i="40"/>
  <c r="AI371" i="40"/>
  <c r="AJ372" i="40"/>
  <c r="AG377" i="40"/>
  <c r="Y382" i="40"/>
  <c r="AI387" i="40"/>
  <c r="AF395" i="40"/>
  <c r="AJ395" i="40"/>
  <c r="AH395" i="40"/>
  <c r="AE395" i="40"/>
  <c r="AG395" i="40"/>
  <c r="Y403" i="40"/>
  <c r="AI346" i="40"/>
  <c r="AI354" i="40"/>
  <c r="AJ363" i="40"/>
  <c r="AJ371" i="40"/>
  <c r="AJ378" i="40"/>
  <c r="AE378" i="40"/>
  <c r="AG378" i="40"/>
  <c r="AF378" i="40"/>
  <c r="Y379" i="40"/>
  <c r="Z382" i="40"/>
  <c r="Y383" i="40"/>
  <c r="Z398" i="40"/>
  <c r="AF342" i="40"/>
  <c r="AJ346" i="40"/>
  <c r="AF350" i="40"/>
  <c r="AJ354" i="40"/>
  <c r="AF358" i="40"/>
  <c r="AJ362" i="40"/>
  <c r="AF366" i="40"/>
  <c r="AJ370" i="40"/>
  <c r="AF374" i="40"/>
  <c r="AI377" i="40"/>
  <c r="AH378" i="40"/>
  <c r="AE382" i="40"/>
  <c r="AG382" i="40"/>
  <c r="AF382" i="40"/>
  <c r="AJ382" i="40"/>
  <c r="X389" i="40"/>
  <c r="AF364" i="40"/>
  <c r="AF372" i="40"/>
  <c r="AH382" i="40"/>
  <c r="X397" i="40"/>
  <c r="Y399" i="40"/>
  <c r="AI342" i="40"/>
  <c r="AI350" i="40"/>
  <c r="AI358" i="40"/>
  <c r="AF363" i="40"/>
  <c r="AG364" i="40"/>
  <c r="AE364" i="40"/>
  <c r="AI366" i="40"/>
  <c r="AF371" i="40"/>
  <c r="AG372" i="40"/>
  <c r="AE372" i="40"/>
  <c r="AI374" i="40"/>
  <c r="AI382" i="40"/>
  <c r="X393" i="40"/>
  <c r="AG363" i="40"/>
  <c r="AG371" i="40"/>
  <c r="AH379" i="40"/>
  <c r="AE379" i="40"/>
  <c r="AG379" i="40"/>
  <c r="AH383" i="40"/>
  <c r="AE383" i="40"/>
  <c r="AG383" i="40"/>
  <c r="X385" i="40"/>
  <c r="AJ391" i="40"/>
  <c r="AH391" i="40"/>
  <c r="AE391" i="40"/>
  <c r="AG391" i="40"/>
  <c r="AF391" i="40"/>
  <c r="Y405" i="40"/>
  <c r="AH380" i="40"/>
  <c r="AI381" i="40"/>
  <c r="AF386" i="40"/>
  <c r="AH388" i="40"/>
  <c r="AI389" i="40"/>
  <c r="AJ390" i="40"/>
  <c r="AF394" i="40"/>
  <c r="AH396" i="40"/>
  <c r="AI397" i="40"/>
  <c r="AJ398" i="40"/>
  <c r="Y398" i="40"/>
  <c r="AF402" i="40"/>
  <c r="AG403" i="40"/>
  <c r="AE403" i="40"/>
  <c r="AH404" i="40"/>
  <c r="AI405" i="40"/>
  <c r="X405" i="40"/>
  <c r="AJ381" i="40"/>
  <c r="AF385" i="40"/>
  <c r="AG386" i="40"/>
  <c r="AE386" i="40"/>
  <c r="AF393" i="40"/>
  <c r="AG394" i="40"/>
  <c r="AE394" i="40"/>
  <c r="AJ397" i="40"/>
  <c r="AF401" i="40"/>
  <c r="AG402" i="40"/>
  <c r="AE402" i="40"/>
  <c r="AH403" i="40"/>
  <c r="AJ405" i="40"/>
  <c r="AI403" i="40"/>
  <c r="AI386" i="40"/>
  <c r="AI394" i="40"/>
  <c r="AF399" i="40"/>
  <c r="AI402" i="40"/>
  <c r="AJ403" i="40"/>
  <c r="AH384" i="40"/>
  <c r="AI385" i="40"/>
  <c r="AF390" i="40"/>
  <c r="AF398" i="40"/>
  <c r="AG399" i="40"/>
  <c r="AE399" i="40"/>
  <c r="AG390" i="40"/>
  <c r="AE390" i="40"/>
  <c r="AG398" i="40"/>
  <c r="AE398" i="40"/>
  <c r="AH399" i="40"/>
  <c r="E9" i="35"/>
  <c r="D9" i="35"/>
  <c r="N5" i="39"/>
  <c r="O5" i="39" s="1"/>
  <c r="P5" i="39" s="1"/>
  <c r="Q5" i="39" s="1"/>
  <c r="R5" i="39" s="1"/>
  <c r="M5" i="39"/>
  <c r="G5" i="39"/>
  <c r="H5" i="39" s="1"/>
  <c r="I5" i="39" s="1"/>
  <c r="J5" i="39" s="1"/>
  <c r="K5" i="39" s="1"/>
  <c r="F5" i="39"/>
  <c r="A1" i="39"/>
  <c r="D159" i="23"/>
  <c r="E159" i="23" s="1"/>
  <c r="D158" i="23"/>
  <c r="E158" i="23" s="1"/>
  <c r="D157" i="23"/>
  <c r="E157" i="23" s="1"/>
  <c r="D156" i="23"/>
  <c r="E156" i="23" s="1"/>
  <c r="D155" i="23"/>
  <c r="E155" i="23" s="1"/>
  <c r="D154" i="23"/>
  <c r="E154" i="23" s="1"/>
  <c r="D153" i="23"/>
  <c r="E153" i="23" s="1"/>
  <c r="D152" i="23"/>
  <c r="E152" i="23" s="1"/>
  <c r="D142" i="23"/>
  <c r="E142" i="23" s="1"/>
  <c r="D141" i="23"/>
  <c r="E141" i="23" s="1"/>
  <c r="D140" i="23"/>
  <c r="E140" i="23" s="1"/>
  <c r="D139" i="23"/>
  <c r="E139" i="23" s="1"/>
  <c r="D138" i="23"/>
  <c r="E138" i="23" s="1"/>
  <c r="D137" i="23"/>
  <c r="E137" i="23" s="1"/>
  <c r="D136" i="23"/>
  <c r="E136" i="23" s="1"/>
  <c r="D135" i="23"/>
  <c r="E135" i="23" s="1"/>
  <c r="D126" i="23"/>
  <c r="E126" i="23" s="1"/>
  <c r="D125" i="23"/>
  <c r="E125" i="23" s="1"/>
  <c r="D124" i="23"/>
  <c r="E124" i="23" s="1"/>
  <c r="D123" i="23"/>
  <c r="E123" i="23" s="1"/>
  <c r="D122" i="23"/>
  <c r="E122" i="23" s="1"/>
  <c r="D121" i="23"/>
  <c r="E121" i="23" s="1"/>
  <c r="D120" i="23"/>
  <c r="E120" i="23" s="1"/>
  <c r="D119" i="23"/>
  <c r="E119" i="23" s="1"/>
  <c r="D93" i="23"/>
  <c r="E93" i="23" s="1"/>
  <c r="D92" i="23"/>
  <c r="E92" i="23" s="1"/>
  <c r="D91" i="23"/>
  <c r="E91" i="23" s="1"/>
  <c r="D90" i="23"/>
  <c r="E90" i="23" s="1"/>
  <c r="D89" i="23"/>
  <c r="E89" i="23" s="1"/>
  <c r="D88" i="23"/>
  <c r="E88" i="23" s="1"/>
  <c r="D87" i="23"/>
  <c r="E87" i="23" s="1"/>
  <c r="D86" i="23"/>
  <c r="E86" i="23" s="1"/>
  <c r="D77" i="23"/>
  <c r="E77" i="23" s="1"/>
  <c r="D76" i="23"/>
  <c r="E76" i="23" s="1"/>
  <c r="D75" i="23"/>
  <c r="E75" i="23" s="1"/>
  <c r="D74" i="23"/>
  <c r="E74" i="23" s="1"/>
  <c r="D73" i="23"/>
  <c r="E73" i="23" s="1"/>
  <c r="D72" i="23"/>
  <c r="E72" i="23" s="1"/>
  <c r="D71" i="23"/>
  <c r="E71" i="23" s="1"/>
  <c r="D70" i="23"/>
  <c r="E70" i="23" s="1"/>
  <c r="D61" i="23"/>
  <c r="E61" i="23" s="1"/>
  <c r="D60" i="23"/>
  <c r="E60" i="23" s="1"/>
  <c r="D59" i="23"/>
  <c r="E59" i="23" s="1"/>
  <c r="D58" i="23"/>
  <c r="E58" i="23" s="1"/>
  <c r="D57" i="23"/>
  <c r="E57" i="23" s="1"/>
  <c r="D56" i="23"/>
  <c r="E56" i="23" s="1"/>
  <c r="D55" i="23"/>
  <c r="E55" i="23" s="1"/>
  <c r="D54" i="23"/>
  <c r="E54" i="23" s="1"/>
  <c r="D46" i="23"/>
  <c r="E46" i="23" s="1"/>
  <c r="D45" i="23"/>
  <c r="E45" i="23" s="1"/>
  <c r="D44" i="23"/>
  <c r="E44" i="23" s="1"/>
  <c r="D43" i="23"/>
  <c r="E43" i="23" s="1"/>
  <c r="D42" i="23"/>
  <c r="E42" i="23" s="1"/>
  <c r="D41" i="23"/>
  <c r="E41" i="23" s="1"/>
  <c r="D40" i="23"/>
  <c r="E40" i="23" s="1"/>
  <c r="I44" i="40" l="1"/>
  <c r="B44" i="40"/>
  <c r="C44" i="40" s="1"/>
  <c r="D44" i="40" s="1"/>
  <c r="E44" i="40" s="1"/>
  <c r="F44" i="40" s="1"/>
  <c r="G44" i="40" s="1"/>
  <c r="I68" i="40"/>
  <c r="B68" i="40"/>
  <c r="C68" i="40" s="1"/>
  <c r="D68" i="40" s="1"/>
  <c r="E68" i="40" s="1"/>
  <c r="F68" i="40" s="1"/>
  <c r="G68" i="40" s="1"/>
  <c r="I77" i="40"/>
  <c r="B76" i="40"/>
  <c r="C76" i="40" s="1"/>
  <c r="D76" i="40" s="1"/>
  <c r="E76" i="40" s="1"/>
  <c r="F76" i="40" s="1"/>
  <c r="G76" i="40" s="1"/>
  <c r="I28" i="40"/>
  <c r="B28" i="40"/>
  <c r="C28" i="40" s="1"/>
  <c r="D28" i="40" s="1"/>
  <c r="E28" i="40" s="1"/>
  <c r="F28" i="40" s="1"/>
  <c r="G28" i="40" s="1"/>
  <c r="I53" i="40"/>
  <c r="B52" i="40"/>
  <c r="C52" i="40" s="1"/>
  <c r="D52" i="40" s="1"/>
  <c r="E52" i="40" s="1"/>
  <c r="F52" i="40" s="1"/>
  <c r="G52" i="40" s="1"/>
  <c r="I84" i="40"/>
  <c r="B84" i="40"/>
  <c r="C84" i="40" s="1"/>
  <c r="D84" i="40" s="1"/>
  <c r="E84" i="40" s="1"/>
  <c r="F84" i="40" s="1"/>
  <c r="G84" i="40" s="1"/>
  <c r="I29" i="40"/>
  <c r="B29" i="40"/>
  <c r="C29" i="40" s="1"/>
  <c r="D29" i="40" s="1"/>
  <c r="E29" i="40" s="1"/>
  <c r="F29" i="40" s="1"/>
  <c r="G29" i="40" s="1"/>
  <c r="AC29" i="40" s="1"/>
  <c r="I37" i="40"/>
  <c r="B37" i="40"/>
  <c r="C37" i="40" s="1"/>
  <c r="D37" i="40" s="1"/>
  <c r="E37" i="40" s="1"/>
  <c r="F37" i="40" s="1"/>
  <c r="G37" i="40" s="1"/>
  <c r="I45" i="40"/>
  <c r="B45" i="40"/>
  <c r="C45" i="40" s="1"/>
  <c r="D45" i="40" s="1"/>
  <c r="E45" i="40" s="1"/>
  <c r="F45" i="40" s="1"/>
  <c r="G45" i="40" s="1"/>
  <c r="B53" i="40"/>
  <c r="C53" i="40" s="1"/>
  <c r="D53" i="40" s="1"/>
  <c r="E53" i="40" s="1"/>
  <c r="F53" i="40" s="1"/>
  <c r="G53" i="40" s="1"/>
  <c r="I69" i="40"/>
  <c r="B69" i="40"/>
  <c r="C69" i="40" s="1"/>
  <c r="D69" i="40" s="1"/>
  <c r="E69" i="40" s="1"/>
  <c r="F69" i="40" s="1"/>
  <c r="G69" i="40" s="1"/>
  <c r="AC69" i="40" s="1"/>
  <c r="B77" i="40"/>
  <c r="C77" i="40" s="1"/>
  <c r="D77" i="40" s="1"/>
  <c r="E77" i="40" s="1"/>
  <c r="F77" i="40" s="1"/>
  <c r="G77" i="40" s="1"/>
  <c r="I85" i="40"/>
  <c r="B85" i="40"/>
  <c r="C85" i="40" s="1"/>
  <c r="D85" i="40" s="1"/>
  <c r="E85" i="40" s="1"/>
  <c r="F85" i="40" s="1"/>
  <c r="G85" i="40" s="1"/>
  <c r="I38" i="40"/>
  <c r="B38" i="40"/>
  <c r="C38" i="40" s="1"/>
  <c r="D38" i="40" s="1"/>
  <c r="B70" i="40"/>
  <c r="C70" i="40" s="1"/>
  <c r="D70" i="40" s="1"/>
  <c r="I30" i="40"/>
  <c r="B30" i="40"/>
  <c r="C30" i="40" s="1"/>
  <c r="D30" i="40" s="1"/>
  <c r="B46" i="40"/>
  <c r="C46" i="40" s="1"/>
  <c r="D46" i="40" s="1"/>
  <c r="I62" i="40"/>
  <c r="B62" i="40"/>
  <c r="C62" i="40" s="1"/>
  <c r="D62" i="40" s="1"/>
  <c r="I78" i="40"/>
  <c r="B78" i="40"/>
  <c r="C78" i="40" s="1"/>
  <c r="D78" i="40" s="1"/>
  <c r="I23" i="40"/>
  <c r="B23" i="40"/>
  <c r="C23" i="40" s="1"/>
  <c r="D23" i="40" s="1"/>
  <c r="I31" i="40"/>
  <c r="B31" i="40"/>
  <c r="C31" i="40" s="1"/>
  <c r="D31" i="40" s="1"/>
  <c r="I39" i="40"/>
  <c r="B39" i="40"/>
  <c r="C39" i="40" s="1"/>
  <c r="D39" i="40" s="1"/>
  <c r="I48" i="40"/>
  <c r="B47" i="40"/>
  <c r="C47" i="40" s="1"/>
  <c r="D47" i="40" s="1"/>
  <c r="I63" i="40"/>
  <c r="B63" i="40"/>
  <c r="C63" i="40" s="1"/>
  <c r="D63" i="40" s="1"/>
  <c r="I72" i="40"/>
  <c r="B71" i="40"/>
  <c r="C71" i="40" s="1"/>
  <c r="D71" i="40" s="1"/>
  <c r="I79" i="40"/>
  <c r="B79" i="40"/>
  <c r="C79" i="40" s="1"/>
  <c r="D79" i="40" s="1"/>
  <c r="I24" i="40"/>
  <c r="B24" i="40"/>
  <c r="C24" i="40" s="1"/>
  <c r="D24" i="40" s="1"/>
  <c r="E24" i="40" s="1"/>
  <c r="F24" i="40" s="1"/>
  <c r="G24" i="40" s="1"/>
  <c r="I49" i="40"/>
  <c r="B48" i="40"/>
  <c r="C48" i="40" s="1"/>
  <c r="D48" i="40" s="1"/>
  <c r="E48" i="40" s="1"/>
  <c r="F48" i="40" s="1"/>
  <c r="G48" i="40" s="1"/>
  <c r="I64" i="40"/>
  <c r="B64" i="40"/>
  <c r="C64" i="40" s="1"/>
  <c r="D64" i="40" s="1"/>
  <c r="E64" i="40" s="1"/>
  <c r="F64" i="40" s="1"/>
  <c r="G64" i="40" s="1"/>
  <c r="I73" i="40"/>
  <c r="B72" i="40"/>
  <c r="C72" i="40" s="1"/>
  <c r="D72" i="40" s="1"/>
  <c r="E72" i="40" s="1"/>
  <c r="F72" i="40" s="1"/>
  <c r="G72" i="40" s="1"/>
  <c r="I80" i="40"/>
  <c r="B80" i="40"/>
  <c r="C80" i="40" s="1"/>
  <c r="D80" i="40" s="1"/>
  <c r="E80" i="40" s="1"/>
  <c r="F80" i="40" s="1"/>
  <c r="G80" i="40" s="1"/>
  <c r="I36" i="40"/>
  <c r="B36" i="40"/>
  <c r="C36" i="40" s="1"/>
  <c r="D36" i="40" s="1"/>
  <c r="E36" i="40" s="1"/>
  <c r="F36" i="40" s="1"/>
  <c r="G36" i="40" s="1"/>
  <c r="I33" i="40"/>
  <c r="B33" i="40"/>
  <c r="C33" i="40" s="1"/>
  <c r="D33" i="40" s="1"/>
  <c r="E33" i="40" s="1"/>
  <c r="F33" i="40" s="1"/>
  <c r="G33" i="40" s="1"/>
  <c r="I41" i="40"/>
  <c r="B41" i="40"/>
  <c r="C41" i="40" s="1"/>
  <c r="D41" i="40" s="1"/>
  <c r="E41" i="40" s="1"/>
  <c r="F41" i="40" s="1"/>
  <c r="G41" i="40" s="1"/>
  <c r="I50" i="40"/>
  <c r="B49" i="40"/>
  <c r="C49" i="40" s="1"/>
  <c r="D49" i="40" s="1"/>
  <c r="E49" i="40" s="1"/>
  <c r="F49" i="40" s="1"/>
  <c r="G49" i="40" s="1"/>
  <c r="I65" i="40"/>
  <c r="B65" i="40"/>
  <c r="C65" i="40" s="1"/>
  <c r="D65" i="40" s="1"/>
  <c r="E65" i="40" s="1"/>
  <c r="F65" i="40" s="1"/>
  <c r="G65" i="40" s="1"/>
  <c r="I74" i="40"/>
  <c r="B73" i="40"/>
  <c r="C73" i="40" s="1"/>
  <c r="D73" i="40" s="1"/>
  <c r="E73" i="40" s="1"/>
  <c r="F73" i="40" s="1"/>
  <c r="G73" i="40" s="1"/>
  <c r="I81" i="40"/>
  <c r="B81" i="40"/>
  <c r="C81" i="40" s="1"/>
  <c r="D81" i="40" s="1"/>
  <c r="E81" i="40" s="1"/>
  <c r="F81" i="40" s="1"/>
  <c r="G81" i="40" s="1"/>
  <c r="I32" i="40"/>
  <c r="B32" i="40"/>
  <c r="C32" i="40" s="1"/>
  <c r="D32" i="40" s="1"/>
  <c r="E32" i="40" s="1"/>
  <c r="F32" i="40" s="1"/>
  <c r="G32" i="40" s="1"/>
  <c r="I25" i="40"/>
  <c r="B25" i="40"/>
  <c r="C25" i="40" s="1"/>
  <c r="D25" i="40" s="1"/>
  <c r="E25" i="40" s="1"/>
  <c r="F25" i="40" s="1"/>
  <c r="G25" i="40" s="1"/>
  <c r="I34" i="40"/>
  <c r="B34" i="40"/>
  <c r="C34" i="40" s="1"/>
  <c r="D34" i="40" s="1"/>
  <c r="E34" i="40" s="1"/>
  <c r="F34" i="40" s="1"/>
  <c r="G34" i="40" s="1"/>
  <c r="I51" i="40"/>
  <c r="B50" i="40"/>
  <c r="C50" i="40" s="1"/>
  <c r="D50" i="40" s="1"/>
  <c r="E50" i="40" s="1"/>
  <c r="F50" i="40" s="1"/>
  <c r="G50" i="40" s="1"/>
  <c r="I66" i="40"/>
  <c r="B66" i="40"/>
  <c r="C66" i="40" s="1"/>
  <c r="D66" i="40" s="1"/>
  <c r="E66" i="40" s="1"/>
  <c r="F66" i="40" s="1"/>
  <c r="G66" i="40" s="1"/>
  <c r="I75" i="40"/>
  <c r="B74" i="40"/>
  <c r="C74" i="40" s="1"/>
  <c r="D74" i="40" s="1"/>
  <c r="E74" i="40" s="1"/>
  <c r="F74" i="40" s="1"/>
  <c r="G74" i="40" s="1"/>
  <c r="I82" i="40"/>
  <c r="B82" i="40"/>
  <c r="C82" i="40" s="1"/>
  <c r="D82" i="40" s="1"/>
  <c r="E82" i="40" s="1"/>
  <c r="F82" i="40" s="1"/>
  <c r="G82" i="40" s="1"/>
  <c r="I40" i="40"/>
  <c r="B40" i="40"/>
  <c r="C40" i="40" s="1"/>
  <c r="D40" i="40" s="1"/>
  <c r="E40" i="40" s="1"/>
  <c r="F40" i="40" s="1"/>
  <c r="G40" i="40" s="1"/>
  <c r="I26" i="40"/>
  <c r="B26" i="40"/>
  <c r="C26" i="40" s="1"/>
  <c r="D26" i="40" s="1"/>
  <c r="E26" i="40" s="1"/>
  <c r="F26" i="40" s="1"/>
  <c r="G26" i="40" s="1"/>
  <c r="I42" i="40"/>
  <c r="B42" i="40"/>
  <c r="C42" i="40" s="1"/>
  <c r="D42" i="40" s="1"/>
  <c r="E42" i="40" s="1"/>
  <c r="F42" i="40" s="1"/>
  <c r="G42" i="40" s="1"/>
  <c r="I27" i="40"/>
  <c r="B27" i="40"/>
  <c r="C27" i="40" s="1"/>
  <c r="D27" i="40" s="1"/>
  <c r="E27" i="40" s="1"/>
  <c r="F27" i="40" s="1"/>
  <c r="G27" i="40" s="1"/>
  <c r="I35" i="40"/>
  <c r="B35" i="40"/>
  <c r="C35" i="40" s="1"/>
  <c r="D35" i="40" s="1"/>
  <c r="E35" i="40" s="1"/>
  <c r="F35" i="40" s="1"/>
  <c r="G35" i="40" s="1"/>
  <c r="I43" i="40"/>
  <c r="B43" i="40"/>
  <c r="C43" i="40" s="1"/>
  <c r="D43" i="40" s="1"/>
  <c r="E43" i="40" s="1"/>
  <c r="F43" i="40" s="1"/>
  <c r="G43" i="40" s="1"/>
  <c r="I52" i="40"/>
  <c r="B51" i="40"/>
  <c r="C51" i="40" s="1"/>
  <c r="D51" i="40" s="1"/>
  <c r="E51" i="40" s="1"/>
  <c r="F51" i="40" s="1"/>
  <c r="G51" i="40" s="1"/>
  <c r="I67" i="40"/>
  <c r="B67" i="40"/>
  <c r="C67" i="40" s="1"/>
  <c r="D67" i="40" s="1"/>
  <c r="E67" i="40" s="1"/>
  <c r="F67" i="40" s="1"/>
  <c r="G67" i="40" s="1"/>
  <c r="I76" i="40"/>
  <c r="B75" i="40"/>
  <c r="C75" i="40" s="1"/>
  <c r="D75" i="40" s="1"/>
  <c r="E75" i="40" s="1"/>
  <c r="F75" i="40" s="1"/>
  <c r="G75" i="40" s="1"/>
  <c r="I83" i="40"/>
  <c r="B83" i="40"/>
  <c r="C83" i="40" s="1"/>
  <c r="D83" i="40" s="1"/>
  <c r="E83" i="40" s="1"/>
  <c r="F83" i="40" s="1"/>
  <c r="G83" i="40" s="1"/>
  <c r="E12" i="40"/>
  <c r="Y390" i="40"/>
  <c r="Y142" i="40"/>
  <c r="AA283" i="40"/>
  <c r="Z386" i="40"/>
  <c r="AB159" i="40"/>
  <c r="Z159" i="40"/>
  <c r="Y198" i="40"/>
  <c r="AA198" i="40"/>
  <c r="Z279" i="40"/>
  <c r="Z247" i="40"/>
  <c r="Y150" i="40"/>
  <c r="Y159" i="40"/>
  <c r="Y134" i="40"/>
  <c r="Z232" i="40"/>
  <c r="Y291" i="40"/>
  <c r="Y290" i="40"/>
  <c r="Y215" i="40"/>
  <c r="Y334" i="40"/>
  <c r="Y308" i="40"/>
  <c r="Y189" i="40"/>
  <c r="Z328" i="40"/>
  <c r="Y143" i="40"/>
  <c r="Y179" i="40"/>
  <c r="Y335" i="40"/>
  <c r="Z329" i="40"/>
  <c r="Z301" i="40"/>
  <c r="Z208" i="40"/>
  <c r="Y391" i="40"/>
  <c r="Y282" i="40"/>
  <c r="Z292" i="40"/>
  <c r="Z200" i="40"/>
  <c r="AA193" i="40"/>
  <c r="Y167" i="40"/>
  <c r="Z190" i="40"/>
  <c r="Z345" i="40"/>
  <c r="Z321" i="40"/>
  <c r="Z309" i="40"/>
  <c r="Z387" i="40"/>
  <c r="Y373" i="40"/>
  <c r="Y374" i="40"/>
  <c r="Z403" i="40"/>
  <c r="Z330" i="40"/>
  <c r="Y297" i="40"/>
  <c r="Z346" i="40"/>
  <c r="Z356" i="40"/>
  <c r="Z326" i="40"/>
  <c r="Z230" i="40"/>
  <c r="Z293" i="40"/>
  <c r="AB353" i="40"/>
  <c r="AC353" i="40"/>
  <c r="AA272" i="40"/>
  <c r="AA274" i="40"/>
  <c r="Y204" i="40"/>
  <c r="Z196" i="40"/>
  <c r="Y186" i="40"/>
  <c r="AA264" i="40"/>
  <c r="Y136" i="40"/>
  <c r="Y104" i="40"/>
  <c r="Z257" i="40"/>
  <c r="Y177" i="40"/>
  <c r="Z154" i="40"/>
  <c r="Y129" i="40"/>
  <c r="Z251" i="40"/>
  <c r="Z188" i="40"/>
  <c r="Z263" i="40"/>
  <c r="Y156" i="40"/>
  <c r="Y108" i="40"/>
  <c r="Z111" i="40"/>
  <c r="D7" i="40"/>
  <c r="AA150" i="40"/>
  <c r="AA209" i="40"/>
  <c r="Y392" i="40"/>
  <c r="Z402" i="40"/>
  <c r="Z405" i="40"/>
  <c r="Y347" i="40"/>
  <c r="Z360" i="40"/>
  <c r="AA377" i="40"/>
  <c r="Z362" i="40"/>
  <c r="Z372" i="40"/>
  <c r="Z348" i="40"/>
  <c r="Z287" i="40"/>
  <c r="AA238" i="40"/>
  <c r="Y228" i="40"/>
  <c r="Z277" i="40"/>
  <c r="Y229" i="40"/>
  <c r="AB337" i="40"/>
  <c r="AC337" i="40"/>
  <c r="Y258" i="40"/>
  <c r="Y250" i="40"/>
  <c r="Y242" i="40"/>
  <c r="Y234" i="40"/>
  <c r="Y226" i="40"/>
  <c r="Y218" i="40"/>
  <c r="AA267" i="40"/>
  <c r="Z217" i="40"/>
  <c r="Z231" i="40"/>
  <c r="Z211" i="40"/>
  <c r="Y203" i="40"/>
  <c r="Y160" i="40"/>
  <c r="AA163" i="40"/>
  <c r="Y153" i="40"/>
  <c r="Z114" i="40"/>
  <c r="Z141" i="40"/>
  <c r="AA166" i="40"/>
  <c r="Z109" i="40"/>
  <c r="AA118" i="40"/>
  <c r="AA142" i="40"/>
  <c r="Y101" i="40"/>
  <c r="E8" i="40"/>
  <c r="AB192" i="40"/>
  <c r="AC192" i="40"/>
  <c r="Z127" i="40"/>
  <c r="Y401" i="40"/>
  <c r="Y393" i="40"/>
  <c r="Y357" i="40"/>
  <c r="Y397" i="40"/>
  <c r="Z367" i="40"/>
  <c r="Y331" i="40"/>
  <c r="Y304" i="40"/>
  <c r="AA383" i="40"/>
  <c r="Z340" i="40"/>
  <c r="AA320" i="40"/>
  <c r="Y286" i="40"/>
  <c r="AA246" i="40"/>
  <c r="Z285" i="40"/>
  <c r="Y288" i="40"/>
  <c r="Y280" i="40"/>
  <c r="Z266" i="40"/>
  <c r="AA256" i="40"/>
  <c r="Y112" i="40"/>
  <c r="Z219" i="40"/>
  <c r="Y195" i="40"/>
  <c r="Z138" i="40"/>
  <c r="Y113" i="40"/>
  <c r="AA240" i="40"/>
  <c r="Z239" i="40"/>
  <c r="Y148" i="40"/>
  <c r="Y92" i="40"/>
  <c r="Y88" i="40"/>
  <c r="AC184" i="40"/>
  <c r="AB184" i="40"/>
  <c r="Z125" i="40"/>
  <c r="Y93" i="40"/>
  <c r="Y388" i="40"/>
  <c r="Y385" i="40"/>
  <c r="Z378" i="40"/>
  <c r="Y366" i="40"/>
  <c r="Y355" i="40"/>
  <c r="Z342" i="40"/>
  <c r="Z343" i="40"/>
  <c r="Y333" i="40"/>
  <c r="AA352" i="40"/>
  <c r="Z325" i="40"/>
  <c r="Y350" i="40"/>
  <c r="AA361" i="40"/>
  <c r="Z344" i="40"/>
  <c r="Z295" i="40"/>
  <c r="AA314" i="40"/>
  <c r="AA254" i="40"/>
  <c r="Z222" i="40"/>
  <c r="AC313" i="40"/>
  <c r="AB313" i="40"/>
  <c r="Z259" i="40"/>
  <c r="AB216" i="40"/>
  <c r="AC216" i="40"/>
  <c r="Z225" i="40"/>
  <c r="Z243" i="40"/>
  <c r="Y144" i="40"/>
  <c r="Z182" i="40"/>
  <c r="AA171" i="40"/>
  <c r="Z162" i="40"/>
  <c r="Y137" i="40"/>
  <c r="AB276" i="40"/>
  <c r="AC276" i="40"/>
  <c r="Y212" i="40"/>
  <c r="Y197" i="40"/>
  <c r="Y180" i="40"/>
  <c r="Z119" i="40"/>
  <c r="Z149" i="40"/>
  <c r="AA99" i="40"/>
  <c r="AA185" i="40"/>
  <c r="Z181" i="40"/>
  <c r="AC199" i="40"/>
  <c r="AB199" i="40"/>
  <c r="Z135" i="40"/>
  <c r="AA91" i="40"/>
  <c r="AB175" i="40"/>
  <c r="AC175" i="40"/>
  <c r="AA134" i="40"/>
  <c r="Z390" i="40"/>
  <c r="Y389" i="40"/>
  <c r="AA398" i="40"/>
  <c r="Z395" i="40"/>
  <c r="Y315" i="40"/>
  <c r="Z306" i="40"/>
  <c r="Z376" i="40"/>
  <c r="Y341" i="40"/>
  <c r="Y319" i="40"/>
  <c r="Z303" i="40"/>
  <c r="Z245" i="40"/>
  <c r="Y236" i="40"/>
  <c r="Y221" i="40"/>
  <c r="Y270" i="40"/>
  <c r="Z289" i="40"/>
  <c r="Z271" i="40"/>
  <c r="Y202" i="40"/>
  <c r="Z214" i="40"/>
  <c r="Z201" i="40"/>
  <c r="AA183" i="40"/>
  <c r="Y187" i="40"/>
  <c r="Y168" i="40"/>
  <c r="Y120" i="40"/>
  <c r="Y96" i="40"/>
  <c r="Y161" i="40"/>
  <c r="Z122" i="40"/>
  <c r="Z227" i="40"/>
  <c r="AA232" i="40"/>
  <c r="Y172" i="40"/>
  <c r="Y140" i="40"/>
  <c r="Z90" i="40"/>
  <c r="Z173" i="40"/>
  <c r="AA87" i="40"/>
  <c r="AA191" i="40"/>
  <c r="Z115" i="40"/>
  <c r="AA95" i="40"/>
  <c r="E9" i="40"/>
  <c r="E11" i="40"/>
  <c r="Y400" i="40"/>
  <c r="Y384" i="40"/>
  <c r="Y365" i="40"/>
  <c r="Z359" i="40"/>
  <c r="Z394" i="40"/>
  <c r="Y380" i="40"/>
  <c r="Y371" i="40"/>
  <c r="Y363" i="40"/>
  <c r="Y323" i="40"/>
  <c r="Y312" i="40"/>
  <c r="AA379" i="40"/>
  <c r="Y305" i="40"/>
  <c r="Y332" i="40"/>
  <c r="Y324" i="40"/>
  <c r="Z354" i="40"/>
  <c r="Z318" i="40"/>
  <c r="Z311" i="40"/>
  <c r="Y294" i="40"/>
  <c r="Y273" i="40"/>
  <c r="Z253" i="40"/>
  <c r="Y244" i="40"/>
  <c r="Y261" i="40"/>
  <c r="AA275" i="40"/>
  <c r="AA336" i="40"/>
  <c r="AA300" i="40"/>
  <c r="AA248" i="40"/>
  <c r="AC268" i="40"/>
  <c r="AB268" i="40"/>
  <c r="AB284" i="40"/>
  <c r="AC284" i="40"/>
  <c r="Z233" i="40"/>
  <c r="AA206" i="40"/>
  <c r="Z205" i="40"/>
  <c r="Z170" i="40"/>
  <c r="Z146" i="40"/>
  <c r="Y121" i="40"/>
  <c r="Z241" i="40"/>
  <c r="Y132" i="40"/>
  <c r="Y100" i="40"/>
  <c r="Z155" i="40"/>
  <c r="Z107" i="40"/>
  <c r="Z86" i="40"/>
  <c r="Z131" i="40"/>
  <c r="Z98" i="40"/>
  <c r="Z133" i="40"/>
  <c r="AA174" i="40"/>
  <c r="Z103" i="40"/>
  <c r="Z165" i="40"/>
  <c r="Z117" i="40"/>
  <c r="Z106" i="40"/>
  <c r="Y404" i="40"/>
  <c r="Y396" i="40"/>
  <c r="Y381" i="40"/>
  <c r="Y358" i="40"/>
  <c r="Z370" i="40"/>
  <c r="Y349" i="40"/>
  <c r="AA351" i="40"/>
  <c r="Z364" i="40"/>
  <c r="Z338" i="40"/>
  <c r="Z317" i="40"/>
  <c r="Y302" i="40"/>
  <c r="Z307" i="40"/>
  <c r="Y252" i="40"/>
  <c r="Y220" i="40"/>
  <c r="Z281" i="40"/>
  <c r="AA327" i="40"/>
  <c r="Y152" i="40"/>
  <c r="Y128" i="40"/>
  <c r="Y169" i="40"/>
  <c r="Y145" i="40"/>
  <c r="Z255" i="40"/>
  <c r="Y164" i="40"/>
  <c r="Y124" i="40"/>
  <c r="Z157" i="40"/>
  <c r="D6" i="40"/>
  <c r="AA158" i="40"/>
  <c r="AA110" i="40"/>
  <c r="Z94" i="40"/>
  <c r="Z399" i="40"/>
  <c r="Z375" i="40"/>
  <c r="AA382" i="40"/>
  <c r="Y339" i="40"/>
  <c r="AA369" i="40"/>
  <c r="Y296" i="40"/>
  <c r="Z368" i="40"/>
  <c r="Z298" i="40"/>
  <c r="Y316" i="40"/>
  <c r="Y310" i="40"/>
  <c r="Y278" i="40"/>
  <c r="Y260" i="40"/>
  <c r="Z299" i="40"/>
  <c r="Z269" i="40"/>
  <c r="Y210" i="40"/>
  <c r="Y194" i="40"/>
  <c r="Z223" i="40"/>
  <c r="Z249" i="40"/>
  <c r="AB265" i="40"/>
  <c r="AC265" i="40"/>
  <c r="Y176" i="40"/>
  <c r="Z178" i="40"/>
  <c r="Z130" i="40"/>
  <c r="Z235" i="40"/>
  <c r="Y213" i="40"/>
  <c r="Y116" i="40"/>
  <c r="AB151" i="40"/>
  <c r="AC151" i="40"/>
  <c r="AA207" i="40"/>
  <c r="AA126" i="40"/>
  <c r="Y97" i="40"/>
  <c r="Z123" i="40"/>
  <c r="Z102" i="40"/>
  <c r="Z139" i="40"/>
  <c r="Z147" i="40"/>
  <c r="Y105" i="40"/>
  <c r="D10" i="40"/>
  <c r="A2" i="35"/>
  <c r="A2" i="23"/>
  <c r="E6" i="36"/>
  <c r="D14" i="17"/>
  <c r="E14" i="17"/>
  <c r="F14" i="17"/>
  <c r="G14" i="17"/>
  <c r="H14" i="17"/>
  <c r="D15" i="17"/>
  <c r="E15" i="17"/>
  <c r="F15" i="17"/>
  <c r="G15" i="17"/>
  <c r="H15" i="17"/>
  <c r="H13" i="17"/>
  <c r="G13" i="17"/>
  <c r="F13" i="17"/>
  <c r="E13" i="17"/>
  <c r="D13" i="17"/>
  <c r="E12" i="17"/>
  <c r="F12" i="17"/>
  <c r="T60" i="49" s="1"/>
  <c r="G12" i="17"/>
  <c r="H12" i="17"/>
  <c r="V60" i="49" s="1"/>
  <c r="D12" i="17"/>
  <c r="R60" i="49" s="1"/>
  <c r="E9" i="17"/>
  <c r="F9" i="17"/>
  <c r="G9" i="17"/>
  <c r="H9" i="17"/>
  <c r="D9" i="17"/>
  <c r="C9" i="17"/>
  <c r="B7" i="17"/>
  <c r="A2" i="21"/>
  <c r="A2" i="13"/>
  <c r="AB69" i="40" l="1"/>
  <c r="AB29" i="40"/>
  <c r="D6" i="39"/>
  <c r="M52" i="40"/>
  <c r="AI52" i="40" s="1"/>
  <c r="N52" i="40"/>
  <c r="AJ52" i="40" s="1"/>
  <c r="J52" i="40"/>
  <c r="L52" i="40"/>
  <c r="K52" i="40"/>
  <c r="M42" i="40"/>
  <c r="AI42" i="40" s="1"/>
  <c r="L42" i="40"/>
  <c r="K42" i="40"/>
  <c r="J42" i="40"/>
  <c r="N42" i="40"/>
  <c r="AJ42" i="40" s="1"/>
  <c r="M75" i="40"/>
  <c r="AI75" i="40" s="1"/>
  <c r="N75" i="40"/>
  <c r="AJ75" i="40" s="1"/>
  <c r="L75" i="40"/>
  <c r="K75" i="40"/>
  <c r="J75" i="40"/>
  <c r="J25" i="40"/>
  <c r="L25" i="40"/>
  <c r="N25" i="40"/>
  <c r="AJ25" i="40" s="1"/>
  <c r="K25" i="40"/>
  <c r="M25" i="40"/>
  <c r="AI25" i="40" s="1"/>
  <c r="J65" i="40"/>
  <c r="N65" i="40"/>
  <c r="AJ65" i="40" s="1"/>
  <c r="L65" i="40"/>
  <c r="M65" i="40"/>
  <c r="AI65" i="40" s="1"/>
  <c r="K65" i="40"/>
  <c r="M36" i="40"/>
  <c r="AI36" i="40" s="1"/>
  <c r="K36" i="40"/>
  <c r="L36" i="40"/>
  <c r="N36" i="40"/>
  <c r="AJ36" i="40" s="1"/>
  <c r="J36" i="40"/>
  <c r="J49" i="40"/>
  <c r="N49" i="40"/>
  <c r="AJ49" i="40" s="1"/>
  <c r="M49" i="40"/>
  <c r="AI49" i="40" s="1"/>
  <c r="K49" i="40"/>
  <c r="L49" i="40"/>
  <c r="N63" i="40"/>
  <c r="AJ63" i="40" s="1"/>
  <c r="M63" i="40"/>
  <c r="AI63" i="40" s="1"/>
  <c r="K63" i="40"/>
  <c r="J63" i="40"/>
  <c r="L63" i="40"/>
  <c r="N23" i="40"/>
  <c r="AJ23" i="40" s="1"/>
  <c r="L23" i="40"/>
  <c r="M23" i="40"/>
  <c r="AI23" i="40" s="1"/>
  <c r="K23" i="40"/>
  <c r="J23" i="40"/>
  <c r="M30" i="40"/>
  <c r="AI30" i="40" s="1"/>
  <c r="K30" i="40"/>
  <c r="J30" i="40"/>
  <c r="N30" i="40"/>
  <c r="AJ30" i="40" s="1"/>
  <c r="L30" i="40"/>
  <c r="N37" i="40"/>
  <c r="AJ37" i="40" s="1"/>
  <c r="L37" i="40"/>
  <c r="J37" i="40"/>
  <c r="M37" i="40"/>
  <c r="AI37" i="40" s="1"/>
  <c r="K37" i="40"/>
  <c r="M28" i="40"/>
  <c r="AI28" i="40" s="1"/>
  <c r="L28" i="40"/>
  <c r="N28" i="40"/>
  <c r="AJ28" i="40" s="1"/>
  <c r="J28" i="40"/>
  <c r="K28" i="40"/>
  <c r="M83" i="40"/>
  <c r="AI83" i="40" s="1"/>
  <c r="L83" i="40"/>
  <c r="N83" i="40"/>
  <c r="AJ83" i="40" s="1"/>
  <c r="J83" i="40"/>
  <c r="K83" i="40"/>
  <c r="J43" i="40"/>
  <c r="M43" i="40"/>
  <c r="AI43" i="40" s="1"/>
  <c r="N43" i="40"/>
  <c r="AJ43" i="40" s="1"/>
  <c r="K43" i="40"/>
  <c r="L43" i="40"/>
  <c r="K26" i="40"/>
  <c r="L26" i="40"/>
  <c r="J26" i="40"/>
  <c r="M26" i="40"/>
  <c r="AI26" i="40" s="1"/>
  <c r="N26" i="40"/>
  <c r="AJ26" i="40" s="1"/>
  <c r="M66" i="40"/>
  <c r="AI66" i="40" s="1"/>
  <c r="J66" i="40"/>
  <c r="N66" i="40"/>
  <c r="AJ66" i="40" s="1"/>
  <c r="K66" i="40"/>
  <c r="L66" i="40"/>
  <c r="M32" i="40"/>
  <c r="AI32" i="40" s="1"/>
  <c r="J32" i="40"/>
  <c r="N32" i="40"/>
  <c r="AJ32" i="40" s="1"/>
  <c r="K32" i="40"/>
  <c r="L32" i="40"/>
  <c r="M50" i="40"/>
  <c r="AI50" i="40" s="1"/>
  <c r="J50" i="40"/>
  <c r="K50" i="40"/>
  <c r="N50" i="40"/>
  <c r="AJ50" i="40" s="1"/>
  <c r="L50" i="40"/>
  <c r="N80" i="40"/>
  <c r="AJ80" i="40" s="1"/>
  <c r="L80" i="40"/>
  <c r="M80" i="40"/>
  <c r="AI80" i="40" s="1"/>
  <c r="J80" i="40"/>
  <c r="K80" i="40"/>
  <c r="N24" i="40"/>
  <c r="AJ24" i="40" s="1"/>
  <c r="L24" i="40"/>
  <c r="K24" i="40"/>
  <c r="M24" i="40"/>
  <c r="AI24" i="40" s="1"/>
  <c r="J24" i="40"/>
  <c r="N48" i="40"/>
  <c r="AJ48" i="40" s="1"/>
  <c r="L48" i="40"/>
  <c r="M48" i="40"/>
  <c r="AI48" i="40" s="1"/>
  <c r="J48" i="40"/>
  <c r="K48" i="40"/>
  <c r="M78" i="40"/>
  <c r="AI78" i="40" s="1"/>
  <c r="L78" i="40"/>
  <c r="N78" i="40"/>
  <c r="AJ78" i="40" s="1"/>
  <c r="J78" i="40"/>
  <c r="K78" i="40"/>
  <c r="I70" i="40"/>
  <c r="I71" i="40"/>
  <c r="N69" i="40"/>
  <c r="AJ69" i="40" s="1"/>
  <c r="M69" i="40"/>
  <c r="AI69" i="40" s="1"/>
  <c r="L69" i="40"/>
  <c r="J69" i="40"/>
  <c r="K69" i="40"/>
  <c r="N29" i="40"/>
  <c r="AJ29" i="40" s="1"/>
  <c r="K29" i="40"/>
  <c r="M29" i="40"/>
  <c r="AI29" i="40" s="1"/>
  <c r="J29" i="40"/>
  <c r="L29" i="40"/>
  <c r="N77" i="40"/>
  <c r="AJ77" i="40" s="1"/>
  <c r="M77" i="40"/>
  <c r="AI77" i="40" s="1"/>
  <c r="L77" i="40"/>
  <c r="J77" i="40"/>
  <c r="K77" i="40"/>
  <c r="M76" i="40"/>
  <c r="AI76" i="40" s="1"/>
  <c r="L76" i="40"/>
  <c r="K76" i="40"/>
  <c r="N76" i="40"/>
  <c r="AJ76" i="40" s="1"/>
  <c r="J76" i="40"/>
  <c r="J35" i="40"/>
  <c r="L35" i="40"/>
  <c r="K35" i="40"/>
  <c r="N35" i="40"/>
  <c r="AJ35" i="40" s="1"/>
  <c r="M35" i="40"/>
  <c r="AI35" i="40" s="1"/>
  <c r="N40" i="40"/>
  <c r="AJ40" i="40" s="1"/>
  <c r="K40" i="40"/>
  <c r="L40" i="40"/>
  <c r="M40" i="40"/>
  <c r="AI40" i="40" s="1"/>
  <c r="J40" i="40"/>
  <c r="J51" i="40"/>
  <c r="L51" i="40"/>
  <c r="K51" i="40"/>
  <c r="N51" i="40"/>
  <c r="AJ51" i="40" s="1"/>
  <c r="M51" i="40"/>
  <c r="AI51" i="40" s="1"/>
  <c r="J81" i="40"/>
  <c r="N81" i="40"/>
  <c r="AJ81" i="40" s="1"/>
  <c r="K81" i="40"/>
  <c r="L81" i="40"/>
  <c r="M81" i="40"/>
  <c r="AI81" i="40" s="1"/>
  <c r="J41" i="40"/>
  <c r="K41" i="40"/>
  <c r="L41" i="40"/>
  <c r="M41" i="40"/>
  <c r="AI41" i="40" s="1"/>
  <c r="N41" i="40"/>
  <c r="AJ41" i="40" s="1"/>
  <c r="J73" i="40"/>
  <c r="K73" i="40"/>
  <c r="L73" i="40"/>
  <c r="M73" i="40"/>
  <c r="AI73" i="40" s="1"/>
  <c r="N73" i="40"/>
  <c r="AJ73" i="40" s="1"/>
  <c r="M79" i="40"/>
  <c r="AI79" i="40" s="1"/>
  <c r="L79" i="40"/>
  <c r="J79" i="40"/>
  <c r="K79" i="40"/>
  <c r="N79" i="40"/>
  <c r="AJ79" i="40" s="1"/>
  <c r="N39" i="40"/>
  <c r="AJ39" i="40" s="1"/>
  <c r="L39" i="40"/>
  <c r="M39" i="40"/>
  <c r="AI39" i="40" s="1"/>
  <c r="K39" i="40"/>
  <c r="J39" i="40"/>
  <c r="M62" i="40"/>
  <c r="AI62" i="40" s="1"/>
  <c r="L62" i="40"/>
  <c r="N62" i="40"/>
  <c r="AJ62" i="40" s="1"/>
  <c r="K62" i="40"/>
  <c r="J62" i="40"/>
  <c r="M38" i="40"/>
  <c r="AI38" i="40" s="1"/>
  <c r="L38" i="40"/>
  <c r="J38" i="40"/>
  <c r="K38" i="40"/>
  <c r="N38" i="40"/>
  <c r="AJ38" i="40" s="1"/>
  <c r="M84" i="40"/>
  <c r="AI84" i="40" s="1"/>
  <c r="J84" i="40"/>
  <c r="N84" i="40"/>
  <c r="AJ84" i="40" s="1"/>
  <c r="L84" i="40"/>
  <c r="K84" i="40"/>
  <c r="M68" i="40"/>
  <c r="AI68" i="40" s="1"/>
  <c r="N68" i="40"/>
  <c r="AJ68" i="40" s="1"/>
  <c r="K68" i="40"/>
  <c r="L68" i="40"/>
  <c r="J68" i="40"/>
  <c r="M67" i="40"/>
  <c r="AI67" i="40" s="1"/>
  <c r="K67" i="40"/>
  <c r="J67" i="40"/>
  <c r="N67" i="40"/>
  <c r="AJ67" i="40" s="1"/>
  <c r="L67" i="40"/>
  <c r="N27" i="40"/>
  <c r="AJ27" i="40" s="1"/>
  <c r="K27" i="40"/>
  <c r="J27" i="40"/>
  <c r="L27" i="40"/>
  <c r="M27" i="40"/>
  <c r="AI27" i="40" s="1"/>
  <c r="M82" i="40"/>
  <c r="AI82" i="40" s="1"/>
  <c r="J82" i="40"/>
  <c r="N82" i="40"/>
  <c r="AJ82" i="40" s="1"/>
  <c r="K82" i="40"/>
  <c r="L82" i="40"/>
  <c r="M34" i="40"/>
  <c r="AI34" i="40" s="1"/>
  <c r="N34" i="40"/>
  <c r="AJ34" i="40" s="1"/>
  <c r="L34" i="40"/>
  <c r="K34" i="40"/>
  <c r="J34" i="40"/>
  <c r="M74" i="40"/>
  <c r="AI74" i="40" s="1"/>
  <c r="K74" i="40"/>
  <c r="J74" i="40"/>
  <c r="L74" i="40"/>
  <c r="N74" i="40"/>
  <c r="AJ74" i="40" s="1"/>
  <c r="J33" i="40"/>
  <c r="M33" i="40"/>
  <c r="AI33" i="40" s="1"/>
  <c r="N33" i="40"/>
  <c r="AJ33" i="40" s="1"/>
  <c r="K33" i="40"/>
  <c r="L33" i="40"/>
  <c r="N64" i="40"/>
  <c r="AJ64" i="40" s="1"/>
  <c r="L64" i="40"/>
  <c r="M64" i="40"/>
  <c r="AI64" i="40" s="1"/>
  <c r="K64" i="40"/>
  <c r="J64" i="40"/>
  <c r="N72" i="40"/>
  <c r="AJ72" i="40" s="1"/>
  <c r="J72" i="40"/>
  <c r="L72" i="40"/>
  <c r="K72" i="40"/>
  <c r="M72" i="40"/>
  <c r="AI72" i="40" s="1"/>
  <c r="K31" i="40"/>
  <c r="J31" i="40"/>
  <c r="N31" i="40"/>
  <c r="AJ31" i="40" s="1"/>
  <c r="L31" i="40"/>
  <c r="M31" i="40"/>
  <c r="AI31" i="40" s="1"/>
  <c r="I47" i="40"/>
  <c r="I46" i="40"/>
  <c r="L85" i="40"/>
  <c r="K85" i="40"/>
  <c r="J85" i="40"/>
  <c r="N85" i="40"/>
  <c r="AJ85" i="40" s="1"/>
  <c r="M85" i="40"/>
  <c r="AI85" i="40" s="1"/>
  <c r="N45" i="40"/>
  <c r="AJ45" i="40" s="1"/>
  <c r="L45" i="40"/>
  <c r="K45" i="40"/>
  <c r="M45" i="40"/>
  <c r="AI45" i="40" s="1"/>
  <c r="J45" i="40"/>
  <c r="N53" i="40"/>
  <c r="AJ53" i="40" s="1"/>
  <c r="K53" i="40"/>
  <c r="J53" i="40"/>
  <c r="L53" i="40"/>
  <c r="M53" i="40"/>
  <c r="AI53" i="40" s="1"/>
  <c r="M44" i="40"/>
  <c r="AI44" i="40" s="1"/>
  <c r="K44" i="40"/>
  <c r="N44" i="40"/>
  <c r="AJ44" i="40" s="1"/>
  <c r="J44" i="40"/>
  <c r="L44" i="40"/>
  <c r="AA224" i="40"/>
  <c r="Z262" i="40"/>
  <c r="F12" i="40"/>
  <c r="AB12" i="40" s="1"/>
  <c r="AC159" i="40"/>
  <c r="Z89" i="40"/>
  <c r="Z237" i="40"/>
  <c r="AA345" i="40"/>
  <c r="Z167" i="40"/>
  <c r="AA301" i="40"/>
  <c r="Z143" i="40"/>
  <c r="Z291" i="40"/>
  <c r="AC193" i="40"/>
  <c r="AB193" i="40"/>
  <c r="AA329" i="40"/>
  <c r="Z308" i="40"/>
  <c r="AA200" i="40"/>
  <c r="Z334" i="40"/>
  <c r="AA292" i="40"/>
  <c r="Z391" i="40"/>
  <c r="AA328" i="40"/>
  <c r="AA309" i="40"/>
  <c r="Z179" i="40"/>
  <c r="Z215" i="40"/>
  <c r="AA321" i="40"/>
  <c r="AA190" i="40"/>
  <c r="Z282" i="40"/>
  <c r="AA208" i="40"/>
  <c r="Z335" i="40"/>
  <c r="Z290" i="40"/>
  <c r="Z189" i="40"/>
  <c r="E6" i="40"/>
  <c r="AB327" i="40"/>
  <c r="AC327" i="40"/>
  <c r="Z252" i="40"/>
  <c r="Z349" i="40"/>
  <c r="AA89" i="40"/>
  <c r="AA86" i="40"/>
  <c r="Z132" i="40"/>
  <c r="AA170" i="40"/>
  <c r="AA233" i="40"/>
  <c r="AB300" i="40"/>
  <c r="AC300" i="40"/>
  <c r="AA311" i="40"/>
  <c r="AC95" i="40"/>
  <c r="AB95" i="40"/>
  <c r="Z172" i="40"/>
  <c r="Z161" i="40"/>
  <c r="Z187" i="40"/>
  <c r="AC283" i="40"/>
  <c r="AB283" i="40"/>
  <c r="AA395" i="40"/>
  <c r="AA390" i="40"/>
  <c r="AC99" i="40"/>
  <c r="AB99" i="40"/>
  <c r="Z180" i="40"/>
  <c r="Z137" i="40"/>
  <c r="Z144" i="40"/>
  <c r="AA259" i="40"/>
  <c r="AA295" i="40"/>
  <c r="AA325" i="40"/>
  <c r="AA125" i="40"/>
  <c r="AB65" i="40"/>
  <c r="AC65" i="40"/>
  <c r="Z113" i="40"/>
  <c r="Z112" i="40"/>
  <c r="Z286" i="40"/>
  <c r="AC383" i="40"/>
  <c r="AB383" i="40"/>
  <c r="Z397" i="40"/>
  <c r="AB28" i="40"/>
  <c r="AC28" i="40"/>
  <c r="E23" i="40"/>
  <c r="AB118" i="40"/>
  <c r="AC118" i="40"/>
  <c r="AB224" i="40"/>
  <c r="AC224" i="40"/>
  <c r="Z160" i="40"/>
  <c r="AA231" i="40"/>
  <c r="Z226" i="40"/>
  <c r="Z258" i="40"/>
  <c r="AA372" i="40"/>
  <c r="AA360" i="40"/>
  <c r="AA386" i="40"/>
  <c r="AA402" i="40"/>
  <c r="AB209" i="40"/>
  <c r="AC209" i="40"/>
  <c r="E47" i="40"/>
  <c r="Z108" i="40"/>
  <c r="AA251" i="40"/>
  <c r="AA257" i="40"/>
  <c r="AA230" i="40"/>
  <c r="AA403" i="40"/>
  <c r="AA387" i="40"/>
  <c r="E10" i="40"/>
  <c r="E71" i="40"/>
  <c r="AA123" i="40"/>
  <c r="AA298" i="40"/>
  <c r="E30" i="40"/>
  <c r="Z164" i="40"/>
  <c r="Z169" i="40"/>
  <c r="AA307" i="40"/>
  <c r="AA370" i="40"/>
  <c r="AA106" i="40"/>
  <c r="E39" i="40"/>
  <c r="Z244" i="40"/>
  <c r="Z312" i="40"/>
  <c r="Z380" i="40"/>
  <c r="Z202" i="40"/>
  <c r="AA245" i="40"/>
  <c r="Z341" i="40"/>
  <c r="AA342" i="40"/>
  <c r="AA378" i="40"/>
  <c r="Z92" i="40"/>
  <c r="Z288" i="40"/>
  <c r="Z228" i="40"/>
  <c r="Z186" i="40"/>
  <c r="AA346" i="40"/>
  <c r="Z194" i="40"/>
  <c r="Z260" i="40"/>
  <c r="Z339" i="40"/>
  <c r="AA399" i="40"/>
  <c r="AA281" i="40"/>
  <c r="AA338" i="40"/>
  <c r="AA133" i="40"/>
  <c r="AA107" i="40"/>
  <c r="AA241" i="40"/>
  <c r="AC336" i="40"/>
  <c r="AB336" i="40"/>
  <c r="AA318" i="40"/>
  <c r="Z332" i="40"/>
  <c r="AA394" i="40"/>
  <c r="F11" i="40"/>
  <c r="AB44" i="40"/>
  <c r="AC44" i="40"/>
  <c r="AA115" i="40"/>
  <c r="AA173" i="40"/>
  <c r="AB232" i="40"/>
  <c r="AC232" i="40"/>
  <c r="AB183" i="40"/>
  <c r="AC183" i="40"/>
  <c r="AA376" i="40"/>
  <c r="AB134" i="40"/>
  <c r="AC134" i="40"/>
  <c r="AC91" i="40"/>
  <c r="AB91" i="40"/>
  <c r="E78" i="40"/>
  <c r="AA149" i="40"/>
  <c r="Z197" i="40"/>
  <c r="AA162" i="40"/>
  <c r="AA243" i="40"/>
  <c r="AA344" i="40"/>
  <c r="AC352" i="40"/>
  <c r="AB352" i="40"/>
  <c r="Z355" i="40"/>
  <c r="Z385" i="40"/>
  <c r="E46" i="40"/>
  <c r="Z148" i="40"/>
  <c r="AA138" i="40"/>
  <c r="AB256" i="40"/>
  <c r="AC256" i="40"/>
  <c r="AC320" i="40"/>
  <c r="AB320" i="40"/>
  <c r="E79" i="40"/>
  <c r="AA109" i="40"/>
  <c r="AA114" i="40"/>
  <c r="Z203" i="40"/>
  <c r="AA217" i="40"/>
  <c r="Z234" i="40"/>
  <c r="AA362" i="40"/>
  <c r="Z347" i="40"/>
  <c r="AA405" i="40"/>
  <c r="AB150" i="40"/>
  <c r="AC150" i="40"/>
  <c r="E38" i="40"/>
  <c r="Z156" i="40"/>
  <c r="Z129" i="40"/>
  <c r="AA196" i="40"/>
  <c r="Z297" i="40"/>
  <c r="Z374" i="40"/>
  <c r="AA139" i="40"/>
  <c r="AB81" i="40"/>
  <c r="AC81" i="40"/>
  <c r="Z97" i="40"/>
  <c r="Z116" i="40"/>
  <c r="AA130" i="40"/>
  <c r="Z210" i="40"/>
  <c r="Z278" i="40"/>
  <c r="AA368" i="40"/>
  <c r="AA94" i="40"/>
  <c r="AB25" i="40"/>
  <c r="AC25" i="40"/>
  <c r="E62" i="40"/>
  <c r="Z128" i="40"/>
  <c r="AA279" i="40"/>
  <c r="AA364" i="40"/>
  <c r="AA117" i="40"/>
  <c r="E63" i="40"/>
  <c r="AA253" i="40"/>
  <c r="Z323" i="40"/>
  <c r="Z365" i="40"/>
  <c r="Z96" i="40"/>
  <c r="AA271" i="40"/>
  <c r="Z270" i="40"/>
  <c r="AA237" i="40"/>
  <c r="AB198" i="40"/>
  <c r="AC198" i="40"/>
  <c r="Z357" i="40"/>
  <c r="AA127" i="40"/>
  <c r="AB238" i="40"/>
  <c r="AC238" i="40"/>
  <c r="Z104" i="40"/>
  <c r="AB272" i="40"/>
  <c r="AC272" i="40"/>
  <c r="AB382" i="40"/>
  <c r="AC382" i="40"/>
  <c r="Z396" i="40"/>
  <c r="AA98" i="40"/>
  <c r="AA155" i="40"/>
  <c r="Z121" i="40"/>
  <c r="AC275" i="40"/>
  <c r="AB275" i="40"/>
  <c r="Z305" i="40"/>
  <c r="Z363" i="40"/>
  <c r="AC191" i="40"/>
  <c r="AB191" i="40"/>
  <c r="AB73" i="40"/>
  <c r="AC73" i="40"/>
  <c r="AA90" i="40"/>
  <c r="AA227" i="40"/>
  <c r="Z120" i="40"/>
  <c r="Z221" i="40"/>
  <c r="AA303" i="40"/>
  <c r="AA306" i="40"/>
  <c r="AB398" i="40"/>
  <c r="AC398" i="40"/>
  <c r="AA181" i="40"/>
  <c r="AB171" i="40"/>
  <c r="AC171" i="40"/>
  <c r="AA225" i="40"/>
  <c r="AA222" i="40"/>
  <c r="AB361" i="40"/>
  <c r="AC361" i="40"/>
  <c r="AB76" i="40"/>
  <c r="AC76" i="40"/>
  <c r="AA239" i="40"/>
  <c r="Z195" i="40"/>
  <c r="AA266" i="40"/>
  <c r="Z393" i="40"/>
  <c r="Z401" i="40"/>
  <c r="AB36" i="40"/>
  <c r="AC36" i="40"/>
  <c r="Z101" i="40"/>
  <c r="AB166" i="40"/>
  <c r="AC166" i="40"/>
  <c r="Z153" i="40"/>
  <c r="AA211" i="40"/>
  <c r="Z242" i="40"/>
  <c r="Z229" i="40"/>
  <c r="AA287" i="40"/>
  <c r="AB52" i="40"/>
  <c r="AC52" i="40"/>
  <c r="E70" i="40"/>
  <c r="AA263" i="40"/>
  <c r="AA154" i="40"/>
  <c r="Z136" i="40"/>
  <c r="Z105" i="40"/>
  <c r="AA102" i="40"/>
  <c r="AB126" i="40"/>
  <c r="AC126" i="40"/>
  <c r="Z213" i="40"/>
  <c r="AA178" i="40"/>
  <c r="AA249" i="40"/>
  <c r="Z310" i="40"/>
  <c r="AB110" i="40"/>
  <c r="AC110" i="40"/>
  <c r="AA157" i="40"/>
  <c r="AA255" i="40"/>
  <c r="Z152" i="40"/>
  <c r="Z302" i="40"/>
  <c r="Z358" i="40"/>
  <c r="Z404" i="40"/>
  <c r="AA165" i="40"/>
  <c r="AA205" i="40"/>
  <c r="Z273" i="40"/>
  <c r="AA354" i="40"/>
  <c r="Z384" i="40"/>
  <c r="AA201" i="40"/>
  <c r="AA135" i="40"/>
  <c r="AA119" i="40"/>
  <c r="Z212" i="40"/>
  <c r="AB254" i="40"/>
  <c r="AC254" i="40"/>
  <c r="Z333" i="40"/>
  <c r="Z388" i="40"/>
  <c r="AA285" i="40"/>
  <c r="Z304" i="40"/>
  <c r="AB267" i="40"/>
  <c r="AC267" i="40"/>
  <c r="Z392" i="40"/>
  <c r="Z204" i="40"/>
  <c r="AA326" i="40"/>
  <c r="AA330" i="40"/>
  <c r="Z373" i="40"/>
  <c r="AA269" i="40"/>
  <c r="Z296" i="40"/>
  <c r="AC84" i="40"/>
  <c r="AB84" i="40"/>
  <c r="Z220" i="40"/>
  <c r="AB351" i="40"/>
  <c r="AC351" i="40"/>
  <c r="AA103" i="40"/>
  <c r="AA131" i="40"/>
  <c r="AA146" i="40"/>
  <c r="AB248" i="40"/>
  <c r="AC248" i="40"/>
  <c r="Z261" i="40"/>
  <c r="Z294" i="40"/>
  <c r="Z324" i="40"/>
  <c r="AC379" i="40"/>
  <c r="AB379" i="40"/>
  <c r="Z371" i="40"/>
  <c r="AA359" i="40"/>
  <c r="Z400" i="40"/>
  <c r="F9" i="40"/>
  <c r="AC87" i="40"/>
  <c r="AB87" i="40"/>
  <c r="Z140" i="40"/>
  <c r="AA122" i="40"/>
  <c r="Z168" i="40"/>
  <c r="AA214" i="40"/>
  <c r="Z389" i="40"/>
  <c r="E31" i="40"/>
  <c r="AA182" i="40"/>
  <c r="AA262" i="40"/>
  <c r="AC314" i="40"/>
  <c r="AB314" i="40"/>
  <c r="Z350" i="40"/>
  <c r="AA343" i="40"/>
  <c r="Z366" i="40"/>
  <c r="AB68" i="40"/>
  <c r="AC68" i="40"/>
  <c r="Z93" i="40"/>
  <c r="AB240" i="40"/>
  <c r="AC240" i="40"/>
  <c r="AA219" i="40"/>
  <c r="AA340" i="40"/>
  <c r="AA367" i="40"/>
  <c r="F8" i="40"/>
  <c r="AB142" i="40"/>
  <c r="AC142" i="40"/>
  <c r="AA141" i="40"/>
  <c r="AB163" i="40"/>
  <c r="AC163" i="40"/>
  <c r="AA247" i="40"/>
  <c r="Z218" i="40"/>
  <c r="Z250" i="40"/>
  <c r="AA348" i="40"/>
  <c r="AB377" i="40"/>
  <c r="AC377" i="40"/>
  <c r="AB33" i="40"/>
  <c r="AC33" i="40"/>
  <c r="E7" i="40"/>
  <c r="AA188" i="40"/>
  <c r="Z177" i="40"/>
  <c r="AB264" i="40"/>
  <c r="AC264" i="40"/>
  <c r="AA293" i="40"/>
  <c r="AA356" i="40"/>
  <c r="AA147" i="40"/>
  <c r="AC207" i="40"/>
  <c r="AB207" i="40"/>
  <c r="AA235" i="40"/>
  <c r="Z176" i="40"/>
  <c r="AA223" i="40"/>
  <c r="AA299" i="40"/>
  <c r="Z316" i="40"/>
  <c r="AB369" i="40"/>
  <c r="AC369" i="40"/>
  <c r="AA375" i="40"/>
  <c r="AB158" i="40"/>
  <c r="AC158" i="40"/>
  <c r="Z124" i="40"/>
  <c r="Z145" i="40"/>
  <c r="AA317" i="40"/>
  <c r="Z381" i="40"/>
  <c r="AB174" i="40"/>
  <c r="AC174" i="40"/>
  <c r="Z100" i="40"/>
  <c r="AB206" i="40"/>
  <c r="AC206" i="40"/>
  <c r="AA289" i="40"/>
  <c r="Z236" i="40"/>
  <c r="Z319" i="40"/>
  <c r="Z315" i="40"/>
  <c r="AC185" i="40"/>
  <c r="AB185" i="40"/>
  <c r="Z88" i="40"/>
  <c r="Z280" i="40"/>
  <c r="AB246" i="40"/>
  <c r="AC246" i="40"/>
  <c r="Z331" i="40"/>
  <c r="AA277" i="40"/>
  <c r="AA111" i="40"/>
  <c r="AB274" i="40"/>
  <c r="AC274" i="40"/>
  <c r="M71" i="40" l="1"/>
  <c r="AI71" i="40" s="1"/>
  <c r="K71" i="40"/>
  <c r="L71" i="40"/>
  <c r="J71" i="40"/>
  <c r="N71" i="40"/>
  <c r="AJ71" i="40" s="1"/>
  <c r="M46" i="40"/>
  <c r="AI46" i="40" s="1"/>
  <c r="N46" i="40"/>
  <c r="AJ46" i="40" s="1"/>
  <c r="K46" i="40"/>
  <c r="L46" i="40"/>
  <c r="J46" i="40"/>
  <c r="M70" i="40"/>
  <c r="AI70" i="40" s="1"/>
  <c r="N70" i="40"/>
  <c r="AJ70" i="40" s="1"/>
  <c r="J70" i="40"/>
  <c r="L70" i="40"/>
  <c r="K70" i="40"/>
  <c r="K47" i="40"/>
  <c r="L47" i="40"/>
  <c r="J47" i="40"/>
  <c r="N47" i="40"/>
  <c r="AJ47" i="40" s="1"/>
  <c r="M47" i="40"/>
  <c r="AI47" i="40" s="1"/>
  <c r="G12" i="40"/>
  <c r="AC12" i="40" s="1"/>
  <c r="AB200" i="40"/>
  <c r="AC200" i="40"/>
  <c r="AA291" i="40"/>
  <c r="AB321" i="40"/>
  <c r="AC321" i="40"/>
  <c r="AA335" i="40"/>
  <c r="AA282" i="40"/>
  <c r="AC328" i="40"/>
  <c r="AB328" i="40"/>
  <c r="AB292" i="40"/>
  <c r="AC292" i="40"/>
  <c r="AB301" i="40"/>
  <c r="AC301" i="40"/>
  <c r="AC309" i="40"/>
  <c r="AB309" i="40"/>
  <c r="AA391" i="40"/>
  <c r="AB208" i="40"/>
  <c r="AC208" i="40"/>
  <c r="AA215" i="40"/>
  <c r="AA179" i="40"/>
  <c r="AA143" i="40"/>
  <c r="AA167" i="40"/>
  <c r="AA189" i="40"/>
  <c r="AA290" i="40"/>
  <c r="AB190" i="40"/>
  <c r="AC190" i="40"/>
  <c r="AA308" i="40"/>
  <c r="AB329" i="40"/>
  <c r="AC329" i="40"/>
  <c r="AB345" i="40"/>
  <c r="AC345" i="40"/>
  <c r="AA334" i="40"/>
  <c r="AA93" i="40"/>
  <c r="AA124" i="40"/>
  <c r="AB141" i="40"/>
  <c r="AC141" i="40"/>
  <c r="AB83" i="40"/>
  <c r="AC83" i="40"/>
  <c r="AB122" i="40"/>
  <c r="AC122" i="40"/>
  <c r="AA373" i="40"/>
  <c r="AA212" i="40"/>
  <c r="AB201" i="40"/>
  <c r="AC201" i="40"/>
  <c r="AB75" i="40"/>
  <c r="AC75" i="40"/>
  <c r="AB80" i="40"/>
  <c r="AC80" i="40"/>
  <c r="AA88" i="40"/>
  <c r="AA229" i="40"/>
  <c r="AA331" i="40"/>
  <c r="AB289" i="40"/>
  <c r="AC289" i="40"/>
  <c r="AA100" i="40"/>
  <c r="AC223" i="40"/>
  <c r="AB223" i="40"/>
  <c r="AB48" i="40"/>
  <c r="AC48" i="40"/>
  <c r="AB356" i="40"/>
  <c r="AC356" i="40"/>
  <c r="AA218" i="40"/>
  <c r="AA140" i="40"/>
  <c r="AB9" i="40"/>
  <c r="G9" i="40"/>
  <c r="AC9" i="40" s="1"/>
  <c r="AA294" i="40"/>
  <c r="AB131" i="40"/>
  <c r="AC131" i="40"/>
  <c r="AA296" i="40"/>
  <c r="AA392" i="40"/>
  <c r="AA388" i="40"/>
  <c r="AB119" i="40"/>
  <c r="AC119" i="40"/>
  <c r="AA273" i="40"/>
  <c r="AB157" i="40"/>
  <c r="AC157" i="40"/>
  <c r="AB154" i="40"/>
  <c r="AC154" i="40"/>
  <c r="AB24" i="40"/>
  <c r="AC24" i="40"/>
  <c r="AA242" i="40"/>
  <c r="AA401" i="40"/>
  <c r="AB266" i="40"/>
  <c r="AC266" i="40"/>
  <c r="AB227" i="40"/>
  <c r="AC227" i="40"/>
  <c r="AA104" i="40"/>
  <c r="AC271" i="40"/>
  <c r="AB271" i="40"/>
  <c r="AB253" i="40"/>
  <c r="AC253" i="40"/>
  <c r="F62" i="40"/>
  <c r="AA278" i="40"/>
  <c r="AA116" i="40"/>
  <c r="AA129" i="40"/>
  <c r="AA347" i="40"/>
  <c r="AB27" i="40"/>
  <c r="AC27" i="40"/>
  <c r="AA355" i="40"/>
  <c r="AB162" i="40"/>
  <c r="AC162" i="40"/>
  <c r="AC318" i="40"/>
  <c r="AB318" i="40"/>
  <c r="AC107" i="40"/>
  <c r="AB107" i="40"/>
  <c r="AA194" i="40"/>
  <c r="AA228" i="40"/>
  <c r="AA341" i="40"/>
  <c r="AA244" i="40"/>
  <c r="AA169" i="40"/>
  <c r="AB257" i="40"/>
  <c r="AC257" i="40"/>
  <c r="F47" i="40"/>
  <c r="AB372" i="40"/>
  <c r="AC372" i="40"/>
  <c r="AA160" i="40"/>
  <c r="AA112" i="40"/>
  <c r="AB49" i="40"/>
  <c r="AC49" i="40"/>
  <c r="AA144" i="40"/>
  <c r="AB40" i="40"/>
  <c r="AC40" i="40"/>
  <c r="AB170" i="40"/>
  <c r="AC170" i="40"/>
  <c r="AA252" i="40"/>
  <c r="AA319" i="40"/>
  <c r="AA236" i="40"/>
  <c r="AC299" i="40"/>
  <c r="AB299" i="40"/>
  <c r="AA177" i="40"/>
  <c r="AA250" i="40"/>
  <c r="AA220" i="40"/>
  <c r="AB354" i="40"/>
  <c r="AC354" i="40"/>
  <c r="AC255" i="40"/>
  <c r="AB255" i="40"/>
  <c r="AB178" i="40"/>
  <c r="AC178" i="40"/>
  <c r="AA136" i="40"/>
  <c r="AB285" i="40"/>
  <c r="AC285" i="40"/>
  <c r="AB277" i="40"/>
  <c r="AC277" i="40"/>
  <c r="AA381" i="40"/>
  <c r="AB375" i="40"/>
  <c r="AC375" i="40"/>
  <c r="AB188" i="40"/>
  <c r="AC188" i="40"/>
  <c r="AA366" i="40"/>
  <c r="AB262" i="40"/>
  <c r="AC262" i="40"/>
  <c r="AA389" i="40"/>
  <c r="AB359" i="40"/>
  <c r="AC359" i="40"/>
  <c r="AB330" i="40"/>
  <c r="AC330" i="40"/>
  <c r="AA358" i="40"/>
  <c r="AA213" i="40"/>
  <c r="AA105" i="40"/>
  <c r="AA101" i="40"/>
  <c r="AB222" i="40"/>
  <c r="AC222" i="40"/>
  <c r="AB306" i="40"/>
  <c r="AC306" i="40"/>
  <c r="AA305" i="40"/>
  <c r="AB98" i="40"/>
  <c r="AC98" i="40"/>
  <c r="AA203" i="40"/>
  <c r="AA186" i="40"/>
  <c r="AB298" i="40"/>
  <c r="AC298" i="40"/>
  <c r="AA187" i="40"/>
  <c r="AB111" i="40"/>
  <c r="AC111" i="40"/>
  <c r="AB147" i="40"/>
  <c r="AC147" i="40"/>
  <c r="AC247" i="40"/>
  <c r="AB247" i="40"/>
  <c r="AA371" i="40"/>
  <c r="AC103" i="40"/>
  <c r="AB103" i="40"/>
  <c r="AB269" i="40"/>
  <c r="AC269" i="40"/>
  <c r="AC326" i="40"/>
  <c r="AB326" i="40"/>
  <c r="AA333" i="40"/>
  <c r="AC205" i="40"/>
  <c r="AB205" i="40"/>
  <c r="AB72" i="40"/>
  <c r="AC72" i="40"/>
  <c r="AA310" i="40"/>
  <c r="AC263" i="40"/>
  <c r="AB263" i="40"/>
  <c r="AC211" i="40"/>
  <c r="AB211" i="40"/>
  <c r="AB225" i="40"/>
  <c r="AC225" i="40"/>
  <c r="AB303" i="40"/>
  <c r="AC303" i="40"/>
  <c r="AA396" i="40"/>
  <c r="AB37" i="40"/>
  <c r="AC37" i="40"/>
  <c r="AA96" i="40"/>
  <c r="F63" i="40"/>
  <c r="AB364" i="40"/>
  <c r="AC364" i="40"/>
  <c r="AA210" i="40"/>
  <c r="AA156" i="40"/>
  <c r="AB362" i="40"/>
  <c r="AC362" i="40"/>
  <c r="AB114" i="40"/>
  <c r="AC114" i="40"/>
  <c r="AB138" i="40"/>
  <c r="AC138" i="40"/>
  <c r="AC376" i="40"/>
  <c r="AB376" i="40"/>
  <c r="AB173" i="40"/>
  <c r="AC173" i="40"/>
  <c r="AB11" i="40"/>
  <c r="G11" i="40"/>
  <c r="AC11" i="40" s="1"/>
  <c r="AB133" i="40"/>
  <c r="AC133" i="40"/>
  <c r="AB338" i="40"/>
  <c r="AC338" i="40"/>
  <c r="AB399" i="40"/>
  <c r="AC399" i="40"/>
  <c r="AB85" i="40"/>
  <c r="AC85" i="40"/>
  <c r="AA288" i="40"/>
  <c r="AB378" i="40"/>
  <c r="AC378" i="40"/>
  <c r="AB245" i="40"/>
  <c r="AC245" i="40"/>
  <c r="F39" i="40"/>
  <c r="AA164" i="40"/>
  <c r="AB35" i="40"/>
  <c r="AC35" i="40"/>
  <c r="AB123" i="40"/>
  <c r="AC123" i="40"/>
  <c r="AC387" i="40"/>
  <c r="AB387" i="40"/>
  <c r="AB251" i="40"/>
  <c r="AC251" i="40"/>
  <c r="AB402" i="40"/>
  <c r="AC402" i="40"/>
  <c r="AA258" i="40"/>
  <c r="AA397" i="40"/>
  <c r="AA113" i="40"/>
  <c r="AA137" i="40"/>
  <c r="AA161" i="40"/>
  <c r="AB311" i="40"/>
  <c r="AC311" i="40"/>
  <c r="AA132" i="40"/>
  <c r="AA315" i="40"/>
  <c r="AA176" i="40"/>
  <c r="AB293" i="40"/>
  <c r="AC293" i="40"/>
  <c r="AB182" i="40"/>
  <c r="AC182" i="40"/>
  <c r="AB135" i="40"/>
  <c r="AC135" i="40"/>
  <c r="AA302" i="40"/>
  <c r="AB317" i="40"/>
  <c r="AC317" i="40"/>
  <c r="F7" i="40"/>
  <c r="AB8" i="40"/>
  <c r="G8" i="40"/>
  <c r="AC8" i="40" s="1"/>
  <c r="AB367" i="40"/>
  <c r="AC367" i="40"/>
  <c r="AB343" i="40"/>
  <c r="AC343" i="40"/>
  <c r="AB214" i="40"/>
  <c r="AC214" i="40"/>
  <c r="AA261" i="40"/>
  <c r="AA393" i="40"/>
  <c r="AA195" i="40"/>
  <c r="AB90" i="40"/>
  <c r="AC90" i="40"/>
  <c r="AA97" i="40"/>
  <c r="AA374" i="40"/>
  <c r="AA197" i="40"/>
  <c r="AB325" i="40"/>
  <c r="AC325" i="40"/>
  <c r="AB390" i="40"/>
  <c r="AC390" i="40"/>
  <c r="AB51" i="40"/>
  <c r="AC51" i="40"/>
  <c r="AC348" i="40"/>
  <c r="AB348" i="40"/>
  <c r="F31" i="40"/>
  <c r="AA168" i="40"/>
  <c r="AA400" i="40"/>
  <c r="AB53" i="40"/>
  <c r="AC53" i="40"/>
  <c r="AA204" i="40"/>
  <c r="AA304" i="40"/>
  <c r="AA384" i="40"/>
  <c r="AB165" i="40"/>
  <c r="AC165" i="40"/>
  <c r="AA152" i="40"/>
  <c r="AB249" i="40"/>
  <c r="AC249" i="40"/>
  <c r="F70" i="40"/>
  <c r="AB43" i="40"/>
  <c r="AC43" i="40"/>
  <c r="AC287" i="40"/>
  <c r="AB287" i="40"/>
  <c r="AA153" i="40"/>
  <c r="AC239" i="40"/>
  <c r="AB239" i="40"/>
  <c r="AA121" i="40"/>
  <c r="AA365" i="40"/>
  <c r="AB117" i="40"/>
  <c r="AC117" i="40"/>
  <c r="AC279" i="40"/>
  <c r="AB279" i="40"/>
  <c r="F38" i="40"/>
  <c r="AA234" i="40"/>
  <c r="AB109" i="40"/>
  <c r="AC109" i="40"/>
  <c r="AA148" i="40"/>
  <c r="AC344" i="40"/>
  <c r="AB344" i="40"/>
  <c r="AB149" i="40"/>
  <c r="AC149" i="40"/>
  <c r="AB64" i="40"/>
  <c r="AC64" i="40"/>
  <c r="AB281" i="40"/>
  <c r="AC281" i="40"/>
  <c r="AA339" i="40"/>
  <c r="AB346" i="40"/>
  <c r="AC346" i="40"/>
  <c r="AB342" i="40"/>
  <c r="AC342" i="40"/>
  <c r="AA202" i="40"/>
  <c r="AA380" i="40"/>
  <c r="AB370" i="40"/>
  <c r="AC370" i="40"/>
  <c r="F30" i="40"/>
  <c r="F71" i="40"/>
  <c r="AB403" i="40"/>
  <c r="AC403" i="40"/>
  <c r="AA108" i="40"/>
  <c r="AA226" i="40"/>
  <c r="AB295" i="40"/>
  <c r="AC295" i="40"/>
  <c r="AA180" i="40"/>
  <c r="AC395" i="40"/>
  <c r="AB395" i="40"/>
  <c r="AA172" i="40"/>
  <c r="AB41" i="40"/>
  <c r="AC41" i="40"/>
  <c r="F6" i="40"/>
  <c r="AA280" i="40"/>
  <c r="AA145" i="40"/>
  <c r="AB102" i="40"/>
  <c r="AC102" i="40"/>
  <c r="AA221" i="40"/>
  <c r="AB94" i="40"/>
  <c r="AC94" i="40"/>
  <c r="AA297" i="40"/>
  <c r="AB394" i="40"/>
  <c r="AC394" i="40"/>
  <c r="AA92" i="40"/>
  <c r="AB106" i="40"/>
  <c r="AC106" i="40"/>
  <c r="AB386" i="40"/>
  <c r="AC386" i="40"/>
  <c r="AB86" i="40"/>
  <c r="AC86" i="40"/>
  <c r="AA404" i="40"/>
  <c r="AB32" i="40"/>
  <c r="AC32" i="40"/>
  <c r="AC181" i="40"/>
  <c r="AB181" i="40"/>
  <c r="AA120" i="40"/>
  <c r="AA363" i="40"/>
  <c r="AB155" i="40"/>
  <c r="AC155" i="40"/>
  <c r="AB127" i="40"/>
  <c r="AC127" i="40"/>
  <c r="AA357" i="40"/>
  <c r="AB237" i="40"/>
  <c r="AC237" i="40"/>
  <c r="AA270" i="40"/>
  <c r="AA323" i="40"/>
  <c r="AA128" i="40"/>
  <c r="AB67" i="40"/>
  <c r="AC67" i="40"/>
  <c r="AC368" i="40"/>
  <c r="AB368" i="40"/>
  <c r="AB130" i="40"/>
  <c r="AC130" i="40"/>
  <c r="AB139" i="40"/>
  <c r="AC139" i="40"/>
  <c r="AB405" i="40"/>
  <c r="AC405" i="40"/>
  <c r="AB217" i="40"/>
  <c r="AC217" i="40"/>
  <c r="F79" i="40"/>
  <c r="F46" i="40"/>
  <c r="AB243" i="40"/>
  <c r="AC243" i="40"/>
  <c r="F78" i="40"/>
  <c r="AB115" i="40"/>
  <c r="AC115" i="40"/>
  <c r="AB241" i="40"/>
  <c r="AC241" i="40"/>
  <c r="AA260" i="40"/>
  <c r="AA312" i="40"/>
  <c r="AC307" i="40"/>
  <c r="AB307" i="40"/>
  <c r="F10" i="40"/>
  <c r="AC360" i="40"/>
  <c r="AB360" i="40"/>
  <c r="AC231" i="40"/>
  <c r="AB231" i="40"/>
  <c r="F23" i="40"/>
  <c r="AA286" i="40"/>
  <c r="AB125" i="40"/>
  <c r="AC125" i="40"/>
  <c r="AB259" i="40"/>
  <c r="AC259" i="40"/>
  <c r="AB233" i="40"/>
  <c r="AC233" i="40"/>
  <c r="AB89" i="40"/>
  <c r="AC89" i="40"/>
  <c r="AA349" i="40"/>
  <c r="AB45" i="40"/>
  <c r="AC45" i="40"/>
  <c r="AB235" i="40"/>
  <c r="AC235" i="40"/>
  <c r="AC340" i="40"/>
  <c r="AB340" i="40"/>
  <c r="AA316" i="40"/>
  <c r="AA350" i="40"/>
  <c r="AB219" i="40"/>
  <c r="AC219" i="40"/>
  <c r="AB146" i="40"/>
  <c r="AC146" i="40"/>
  <c r="AA324" i="40"/>
  <c r="AB196" i="40"/>
  <c r="AC196" i="40"/>
  <c r="AA385" i="40"/>
  <c r="AA332" i="40"/>
  <c r="AB230" i="40"/>
  <c r="AC230" i="40"/>
  <c r="A2" i="22"/>
  <c r="C15" i="11"/>
  <c r="C14" i="17" s="1"/>
  <c r="C16" i="11"/>
  <c r="C15" i="17" s="1"/>
  <c r="C14" i="11"/>
  <c r="C13" i="17" s="1"/>
  <c r="C13" i="11"/>
  <c r="C12" i="17" s="1"/>
  <c r="C26" i="13"/>
  <c r="A2" i="11"/>
  <c r="B7" i="11"/>
  <c r="AB77" i="40" l="1"/>
  <c r="AC77" i="40"/>
  <c r="AB179" i="40"/>
  <c r="AC179" i="40"/>
  <c r="AB167" i="40"/>
  <c r="AC167" i="40"/>
  <c r="AB215" i="40"/>
  <c r="AC215" i="40"/>
  <c r="AC391" i="40"/>
  <c r="AB391" i="40"/>
  <c r="AB143" i="40"/>
  <c r="AC143" i="40"/>
  <c r="AB282" i="40"/>
  <c r="AC282" i="40"/>
  <c r="AC189" i="40"/>
  <c r="AB189" i="40"/>
  <c r="AC334" i="40"/>
  <c r="AB334" i="40"/>
  <c r="AB308" i="40"/>
  <c r="AC308" i="40"/>
  <c r="AC291" i="40"/>
  <c r="AB291" i="40"/>
  <c r="AB290" i="40"/>
  <c r="AC290" i="40"/>
  <c r="AB335" i="40"/>
  <c r="AC335" i="40"/>
  <c r="AB349" i="40"/>
  <c r="AC349" i="40"/>
  <c r="AB260" i="40"/>
  <c r="AC260" i="40"/>
  <c r="AB46" i="40"/>
  <c r="G46" i="40"/>
  <c r="AC46" i="40" s="1"/>
  <c r="AB30" i="40"/>
  <c r="G30" i="40"/>
  <c r="AC30" i="40" s="1"/>
  <c r="AC339" i="40"/>
  <c r="AB339" i="40"/>
  <c r="AB136" i="40"/>
  <c r="AC136" i="40"/>
  <c r="AC332" i="40"/>
  <c r="AB332" i="40"/>
  <c r="AC324" i="40"/>
  <c r="AB324" i="40"/>
  <c r="AB350" i="40"/>
  <c r="AC350" i="40"/>
  <c r="AB10" i="40"/>
  <c r="G10" i="40"/>
  <c r="AC10" i="40" s="1"/>
  <c r="AB312" i="40"/>
  <c r="AC312" i="40"/>
  <c r="AB357" i="40"/>
  <c r="AC357" i="40"/>
  <c r="AB66" i="40"/>
  <c r="AC66" i="40"/>
  <c r="AB108" i="40"/>
  <c r="AC108" i="40"/>
  <c r="AC197" i="40"/>
  <c r="AB197" i="40"/>
  <c r="AB374" i="40"/>
  <c r="AC374" i="40"/>
  <c r="AC195" i="40"/>
  <c r="AB195" i="40"/>
  <c r="AC137" i="40"/>
  <c r="AB137" i="40"/>
  <c r="AB258" i="40"/>
  <c r="AC258" i="40"/>
  <c r="AB164" i="40"/>
  <c r="AC164" i="40"/>
  <c r="AB156" i="40"/>
  <c r="AC156" i="40"/>
  <c r="AB310" i="40"/>
  <c r="AC310" i="40"/>
  <c r="AB305" i="40"/>
  <c r="AC305" i="40"/>
  <c r="AB213" i="40"/>
  <c r="AC213" i="40"/>
  <c r="AB220" i="40"/>
  <c r="AC220" i="40"/>
  <c r="AC177" i="40"/>
  <c r="AB177" i="40"/>
  <c r="AB236" i="40"/>
  <c r="AC236" i="40"/>
  <c r="AB82" i="40"/>
  <c r="AC82" i="40"/>
  <c r="AB244" i="40"/>
  <c r="AC244" i="40"/>
  <c r="AB228" i="40"/>
  <c r="AC228" i="40"/>
  <c r="AB116" i="40"/>
  <c r="AC116" i="40"/>
  <c r="AB296" i="40"/>
  <c r="AC296" i="40"/>
  <c r="AB93" i="40"/>
  <c r="AC93" i="40"/>
  <c r="G23" i="40"/>
  <c r="AC23" i="40" s="1"/>
  <c r="AB23" i="40"/>
  <c r="AB363" i="40"/>
  <c r="AC363" i="40"/>
  <c r="AB404" i="40"/>
  <c r="AC404" i="40"/>
  <c r="AB26" i="40"/>
  <c r="AC26" i="40"/>
  <c r="G71" i="40"/>
  <c r="AC71" i="40" s="1"/>
  <c r="AB71" i="40"/>
  <c r="G6" i="40"/>
  <c r="AC202" i="40"/>
  <c r="AB202" i="40"/>
  <c r="AB152" i="40"/>
  <c r="AC152" i="40"/>
  <c r="AC286" i="40"/>
  <c r="AB286" i="40"/>
  <c r="AB78" i="40"/>
  <c r="G78" i="40"/>
  <c r="AC78" i="40" s="1"/>
  <c r="AB70" i="40"/>
  <c r="G70" i="40"/>
  <c r="AC70" i="40" s="1"/>
  <c r="AB400" i="40"/>
  <c r="AC400" i="40"/>
  <c r="AB176" i="40"/>
  <c r="AC176" i="40"/>
  <c r="AB333" i="40"/>
  <c r="AC333" i="40"/>
  <c r="AB381" i="40"/>
  <c r="AC381" i="40"/>
  <c r="AB112" i="40"/>
  <c r="AC112" i="40"/>
  <c r="AB355" i="40"/>
  <c r="AC355" i="40"/>
  <c r="AC385" i="40"/>
  <c r="AB385" i="40"/>
  <c r="AB92" i="40"/>
  <c r="AC92" i="40"/>
  <c r="AB221" i="40"/>
  <c r="AC221" i="40"/>
  <c r="AC145" i="40"/>
  <c r="AB145" i="40"/>
  <c r="AB42" i="40"/>
  <c r="AC42" i="40"/>
  <c r="AB226" i="40"/>
  <c r="AC226" i="40"/>
  <c r="AC153" i="40"/>
  <c r="AB153" i="40"/>
  <c r="AB304" i="40"/>
  <c r="AC304" i="40"/>
  <c r="G31" i="40"/>
  <c r="AC31" i="40" s="1"/>
  <c r="AB31" i="40"/>
  <c r="AC97" i="40"/>
  <c r="AB97" i="40"/>
  <c r="AC393" i="40"/>
  <c r="AB393" i="40"/>
  <c r="AB302" i="40"/>
  <c r="AC302" i="40"/>
  <c r="AC315" i="40"/>
  <c r="AB315" i="40"/>
  <c r="G63" i="40"/>
  <c r="AC63" i="40" s="1"/>
  <c r="AB63" i="40"/>
  <c r="AB389" i="40"/>
  <c r="AC389" i="40"/>
  <c r="G47" i="40"/>
  <c r="AC47" i="40" s="1"/>
  <c r="AB47" i="40"/>
  <c r="AC169" i="40"/>
  <c r="AB169" i="40"/>
  <c r="AC129" i="40"/>
  <c r="AB129" i="40"/>
  <c r="AB50" i="40"/>
  <c r="AC50" i="40"/>
  <c r="AB242" i="40"/>
  <c r="AC242" i="40"/>
  <c r="AB388" i="40"/>
  <c r="AC388" i="40"/>
  <c r="AB140" i="40"/>
  <c r="AC140" i="40"/>
  <c r="AB229" i="40"/>
  <c r="AC229" i="40"/>
  <c r="AB316" i="40"/>
  <c r="AC316" i="40"/>
  <c r="AB323" i="40"/>
  <c r="AC323" i="40"/>
  <c r="AB120" i="40"/>
  <c r="AC120" i="40"/>
  <c r="AB38" i="40"/>
  <c r="G38" i="40"/>
  <c r="AC38" i="40" s="1"/>
  <c r="AB210" i="40"/>
  <c r="AC210" i="40"/>
  <c r="AC187" i="40"/>
  <c r="AB187" i="40"/>
  <c r="AB319" i="40"/>
  <c r="AC319" i="40"/>
  <c r="AB144" i="40"/>
  <c r="AC144" i="40"/>
  <c r="AC278" i="40"/>
  <c r="AB278" i="40"/>
  <c r="G79" i="40"/>
  <c r="AC79" i="40" s="1"/>
  <c r="AB79" i="40"/>
  <c r="AB297" i="40"/>
  <c r="AC297" i="40"/>
  <c r="AB280" i="40"/>
  <c r="AC280" i="40"/>
  <c r="AB172" i="40"/>
  <c r="AC172" i="40"/>
  <c r="AB180" i="40"/>
  <c r="AC180" i="40"/>
  <c r="AB380" i="40"/>
  <c r="AC380" i="40"/>
  <c r="AB234" i="40"/>
  <c r="AC234" i="40"/>
  <c r="AB365" i="40"/>
  <c r="AC365" i="40"/>
  <c r="AC121" i="40"/>
  <c r="AB121" i="40"/>
  <c r="AB261" i="40"/>
  <c r="AC261" i="40"/>
  <c r="AC161" i="40"/>
  <c r="AB161" i="40"/>
  <c r="AC113" i="40"/>
  <c r="AB113" i="40"/>
  <c r="G39" i="40"/>
  <c r="AC39" i="40" s="1"/>
  <c r="AB39" i="40"/>
  <c r="AB288" i="40"/>
  <c r="AC288" i="40"/>
  <c r="AB371" i="40"/>
  <c r="AC371" i="40"/>
  <c r="AC203" i="40"/>
  <c r="AB203" i="40"/>
  <c r="AB101" i="40"/>
  <c r="AC101" i="40"/>
  <c r="AB358" i="40"/>
  <c r="AC358" i="40"/>
  <c r="AB252" i="40"/>
  <c r="AC252" i="40"/>
  <c r="AB341" i="40"/>
  <c r="AC341" i="40"/>
  <c r="AC273" i="40"/>
  <c r="AB273" i="40"/>
  <c r="AB218" i="40"/>
  <c r="AC218" i="40"/>
  <c r="AB88" i="40"/>
  <c r="AC88" i="40"/>
  <c r="AB212" i="40"/>
  <c r="AC212" i="40"/>
  <c r="AB124" i="40"/>
  <c r="AC124" i="40"/>
  <c r="AC270" i="40"/>
  <c r="AB270" i="40"/>
  <c r="AB384" i="40"/>
  <c r="AC384" i="40"/>
  <c r="AB204" i="40"/>
  <c r="AC204" i="40"/>
  <c r="AB168" i="40"/>
  <c r="AC168" i="40"/>
  <c r="AB96" i="40"/>
  <c r="AC96" i="40"/>
  <c r="AB186" i="40"/>
  <c r="AC186" i="40"/>
  <c r="AB160" i="40"/>
  <c r="AC160" i="40"/>
  <c r="AB194" i="40"/>
  <c r="AC194" i="40"/>
  <c r="AB62" i="40"/>
  <c r="G62" i="40"/>
  <c r="AC62" i="40" s="1"/>
  <c r="AB104" i="40"/>
  <c r="AC104" i="40"/>
  <c r="AB331" i="40"/>
  <c r="AC331" i="40"/>
  <c r="AB128" i="40"/>
  <c r="AC128" i="40"/>
  <c r="AB148" i="40"/>
  <c r="AC148" i="40"/>
  <c r="G7" i="40"/>
  <c r="AC7" i="40" s="1"/>
  <c r="AB7" i="40"/>
  <c r="AB132" i="40"/>
  <c r="AC132" i="40"/>
  <c r="AB397" i="40"/>
  <c r="AC397" i="40"/>
  <c r="AB396" i="40"/>
  <c r="AC396" i="40"/>
  <c r="AC105" i="40"/>
  <c r="AB105" i="40"/>
  <c r="AB366" i="40"/>
  <c r="AC366" i="40"/>
  <c r="AB250" i="40"/>
  <c r="AC250" i="40"/>
  <c r="AB74" i="40"/>
  <c r="AC74" i="40"/>
  <c r="AC401" i="40"/>
  <c r="AB401" i="40"/>
  <c r="AB294" i="40"/>
  <c r="AC294" i="40"/>
  <c r="AB100" i="40"/>
  <c r="AC100" i="40"/>
  <c r="AB373" i="40"/>
  <c r="AC373" i="40"/>
  <c r="AB34" i="40"/>
  <c r="AC34" i="40"/>
  <c r="AB347" i="40"/>
  <c r="AC347" i="40"/>
  <c r="AB392" i="40"/>
  <c r="AC392" i="40"/>
  <c r="A47" i="34"/>
  <c r="A46" i="34"/>
  <c r="O9" i="2"/>
  <c r="O10" i="2"/>
  <c r="O11" i="2"/>
  <c r="O12" i="2"/>
  <c r="O13" i="2"/>
  <c r="O14" i="2"/>
  <c r="O15" i="2"/>
  <c r="O16" i="2"/>
  <c r="O17" i="2"/>
  <c r="O8" i="2"/>
  <c r="N9" i="2"/>
  <c r="N10" i="2"/>
  <c r="P10" i="2" s="1"/>
  <c r="N11" i="2"/>
  <c r="N12" i="2"/>
  <c r="N13" i="2"/>
  <c r="N14" i="2"/>
  <c r="N15" i="2"/>
  <c r="N16" i="2"/>
  <c r="N17" i="2"/>
  <c r="N8" i="2"/>
  <c r="Y5" i="2"/>
  <c r="Z5" i="2" s="1"/>
  <c r="AA5" i="2" s="1"/>
  <c r="AB5" i="2" s="1"/>
  <c r="AC5" i="2" s="1"/>
  <c r="X5" i="2"/>
  <c r="Q5" i="2"/>
  <c r="P5" i="2"/>
  <c r="D23" i="15"/>
  <c r="R5" i="2" l="1"/>
  <c r="Q12" i="2"/>
  <c r="Q16" i="2"/>
  <c r="Q14" i="2"/>
  <c r="Q11" i="2"/>
  <c r="Q15" i="2"/>
  <c r="Q10" i="2"/>
  <c r="Q13" i="2"/>
  <c r="Q17" i="2"/>
  <c r="Y21" i="34"/>
  <c r="AB21" i="34" s="1"/>
  <c r="Y22" i="34"/>
  <c r="AC22" i="34" s="1"/>
  <c r="Y10" i="34"/>
  <c r="B99" i="42" s="1"/>
  <c r="Y11" i="34"/>
  <c r="Y16" i="34"/>
  <c r="Y17" i="34"/>
  <c r="Y18" i="34"/>
  <c r="Y19" i="34"/>
  <c r="AD19" i="34" s="1"/>
  <c r="Y20" i="34"/>
  <c r="Z20" i="34" s="1"/>
  <c r="Y9" i="34"/>
  <c r="B98" i="42" s="1"/>
  <c r="AA6" i="34"/>
  <c r="AB6" i="34" s="1"/>
  <c r="AC6" i="34" s="1"/>
  <c r="AD6" i="34" s="1"/>
  <c r="AE6" i="34" s="1"/>
  <c r="Z6" i="34"/>
  <c r="D48" i="20"/>
  <c r="F48" i="20"/>
  <c r="D40" i="20"/>
  <c r="D41" i="20"/>
  <c r="D42" i="20"/>
  <c r="D43" i="20"/>
  <c r="D44" i="20"/>
  <c r="D45" i="20"/>
  <c r="D46" i="20"/>
  <c r="D47"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39" i="20"/>
  <c r="F40" i="20"/>
  <c r="F41" i="20"/>
  <c r="F42" i="20"/>
  <c r="F43" i="20"/>
  <c r="F44" i="20"/>
  <c r="F45" i="20"/>
  <c r="F46" i="20"/>
  <c r="F39" i="20"/>
  <c r="AC98" i="19"/>
  <c r="AD98" i="19" s="1"/>
  <c r="AC97" i="19"/>
  <c r="AD97" i="19" s="1"/>
  <c r="AC96" i="19"/>
  <c r="AD96" i="19" s="1"/>
  <c r="AC95" i="19"/>
  <c r="AD95" i="19" s="1"/>
  <c r="AC94" i="19"/>
  <c r="AD94" i="19" s="1"/>
  <c r="AC93" i="19"/>
  <c r="AD93" i="19" s="1"/>
  <c r="AC92" i="19"/>
  <c r="AD92" i="19" s="1"/>
  <c r="AC91" i="19"/>
  <c r="AD91" i="19" s="1"/>
  <c r="AC90" i="19"/>
  <c r="AD90" i="19" s="1"/>
  <c r="AD88" i="19"/>
  <c r="Y119" i="19"/>
  <c r="Z119" i="19"/>
  <c r="AA119" i="19"/>
  <c r="D12" i="13"/>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7" i="12"/>
  <c r="S5" i="2" l="1"/>
  <c r="R12" i="2"/>
  <c r="R16" i="2"/>
  <c r="R15" i="2"/>
  <c r="R11" i="2"/>
  <c r="R13" i="2"/>
  <c r="R17" i="2"/>
  <c r="R10" i="2"/>
  <c r="R14" i="2"/>
  <c r="Z17" i="34"/>
  <c r="C105" i="42" s="1"/>
  <c r="B105" i="42"/>
  <c r="Z16" i="34"/>
  <c r="C104" i="42" s="1"/>
  <c r="B104" i="42"/>
  <c r="G103" i="42"/>
  <c r="B103" i="42"/>
  <c r="F4" i="39"/>
  <c r="M4" i="39"/>
  <c r="E102" i="42"/>
  <c r="B102" i="42"/>
  <c r="C101" i="42"/>
  <c r="B101" i="42"/>
  <c r="AB18" i="34"/>
  <c r="E106" i="42" s="1"/>
  <c r="B106" i="42"/>
  <c r="B100" i="42"/>
  <c r="C7" i="11"/>
  <c r="C9" i="11" s="1"/>
  <c r="C7" i="17"/>
  <c r="C10" i="42" s="1"/>
  <c r="AE22" i="34"/>
  <c r="AD22" i="34"/>
  <c r="AA22" i="34"/>
  <c r="D102" i="42"/>
  <c r="AE21" i="34"/>
  <c r="AA21" i="34"/>
  <c r="Z21" i="34"/>
  <c r="AC19" i="34"/>
  <c r="AB22" i="34"/>
  <c r="AA18" i="34"/>
  <c r="D106" i="42" s="1"/>
  <c r="AE16" i="34"/>
  <c r="H104" i="42" s="1"/>
  <c r="Z22" i="34"/>
  <c r="F103" i="42"/>
  <c r="AE20" i="34"/>
  <c r="AD20" i="34"/>
  <c r="AB19" i="34"/>
  <c r="Z18" i="34"/>
  <c r="C106" i="42" s="1"/>
  <c r="AD16" i="34"/>
  <c r="G104" i="42" s="1"/>
  <c r="E103" i="42"/>
  <c r="C102" i="42"/>
  <c r="AC20" i="34"/>
  <c r="AA19" i="34"/>
  <c r="AE17" i="34"/>
  <c r="H105" i="42" s="1"/>
  <c r="AC16" i="34"/>
  <c r="F104" i="42" s="1"/>
  <c r="D103" i="42"/>
  <c r="H101" i="42"/>
  <c r="AB20" i="34"/>
  <c r="Z19" i="34"/>
  <c r="AD17" i="34"/>
  <c r="G105" i="42" s="1"/>
  <c r="AB16" i="34"/>
  <c r="E104" i="42" s="1"/>
  <c r="C103" i="42"/>
  <c r="G101" i="42"/>
  <c r="AA20" i="34"/>
  <c r="AE18" i="34"/>
  <c r="H106" i="42" s="1"/>
  <c r="AC17" i="34"/>
  <c r="F105" i="42" s="1"/>
  <c r="AA16" i="34"/>
  <c r="D104" i="42" s="1"/>
  <c r="H102" i="42"/>
  <c r="F101" i="42"/>
  <c r="AD18" i="34"/>
  <c r="G106" i="42" s="1"/>
  <c r="AB17" i="34"/>
  <c r="E105" i="42" s="1"/>
  <c r="G102" i="42"/>
  <c r="E101" i="42"/>
  <c r="AE19" i="34"/>
  <c r="AC18" i="34"/>
  <c r="F106" i="42" s="1"/>
  <c r="AA17" i="34"/>
  <c r="D105" i="42" s="1"/>
  <c r="H103" i="42"/>
  <c r="F102" i="42"/>
  <c r="D101" i="42"/>
  <c r="AD21" i="34"/>
  <c r="AC21" i="34"/>
  <c r="AB119" i="19"/>
  <c r="AC119" i="19" s="1"/>
  <c r="AD119" i="19" s="1"/>
  <c r="T5" i="2" l="1"/>
  <c r="S13" i="2"/>
  <c r="S17" i="2"/>
  <c r="S12" i="2"/>
  <c r="S16" i="2"/>
  <c r="S11" i="2"/>
  <c r="S15" i="2"/>
  <c r="S10" i="2"/>
  <c r="S14" i="2"/>
  <c r="D31" i="23"/>
  <c r="E31" i="23" s="1"/>
  <c r="D30" i="23"/>
  <c r="E30" i="23" s="1"/>
  <c r="D29" i="23"/>
  <c r="E29" i="23" s="1"/>
  <c r="D28" i="23"/>
  <c r="E28" i="23" s="1"/>
  <c r="D27" i="23"/>
  <c r="E27" i="23" s="1"/>
  <c r="D26" i="23"/>
  <c r="E26" i="23" s="1"/>
  <c r="D25" i="23"/>
  <c r="E25" i="23" s="1"/>
  <c r="D11" i="23"/>
  <c r="D12" i="23"/>
  <c r="D13" i="23"/>
  <c r="D14" i="23"/>
  <c r="D15" i="23"/>
  <c r="D16" i="23"/>
  <c r="D10" i="23"/>
  <c r="D16" i="17"/>
  <c r="E16" i="17"/>
  <c r="F16" i="17"/>
  <c r="G16" i="17"/>
  <c r="H16" i="17"/>
  <c r="C16" i="17"/>
  <c r="F9" i="37"/>
  <c r="F10" i="37"/>
  <c r="F11" i="37"/>
  <c r="F12" i="37"/>
  <c r="F13" i="37"/>
  <c r="F14" i="37"/>
  <c r="F15" i="37"/>
  <c r="G15" i="37" s="1"/>
  <c r="E12" i="39" s="1"/>
  <c r="F16" i="37"/>
  <c r="G16" i="37" s="1"/>
  <c r="E13" i="39" s="1"/>
  <c r="F17" i="37"/>
  <c r="G17" i="37" s="1"/>
  <c r="E14" i="39" s="1"/>
  <c r="F18" i="37"/>
  <c r="G18" i="37" s="1"/>
  <c r="E15" i="39" s="1"/>
  <c r="Q4" i="37"/>
  <c r="G24" i="37"/>
  <c r="G32" i="37"/>
  <c r="G40" i="37"/>
  <c r="G56" i="37"/>
  <c r="G64" i="37"/>
  <c r="G72" i="37"/>
  <c r="G80" i="37"/>
  <c r="G88" i="37"/>
  <c r="G96" i="37"/>
  <c r="G104" i="37"/>
  <c r="E18" i="37"/>
  <c r="E17" i="37"/>
  <c r="E16" i="37"/>
  <c r="E15" i="37"/>
  <c r="E14" i="37"/>
  <c r="E13" i="37"/>
  <c r="E12" i="37"/>
  <c r="E11" i="37"/>
  <c r="E10" i="37"/>
  <c r="E9" i="37"/>
  <c r="G108" i="37"/>
  <c r="G107" i="37"/>
  <c r="G106" i="37"/>
  <c r="G105" i="37"/>
  <c r="G103" i="37"/>
  <c r="G102" i="37"/>
  <c r="G101" i="37"/>
  <c r="G100" i="37"/>
  <c r="G99" i="37"/>
  <c r="G98" i="37"/>
  <c r="G97" i="37"/>
  <c r="G95" i="37"/>
  <c r="G94" i="37"/>
  <c r="G93" i="37"/>
  <c r="G92" i="37"/>
  <c r="G91" i="37"/>
  <c r="G90" i="37"/>
  <c r="G89" i="37"/>
  <c r="G87" i="37"/>
  <c r="G86" i="37"/>
  <c r="G85" i="37"/>
  <c r="G84" i="37"/>
  <c r="G83" i="37"/>
  <c r="G82" i="37"/>
  <c r="G81" i="37"/>
  <c r="G79" i="37"/>
  <c r="G78" i="37"/>
  <c r="G77" i="37"/>
  <c r="G76" i="37"/>
  <c r="G75" i="37"/>
  <c r="G74" i="37"/>
  <c r="G73" i="37"/>
  <c r="G71" i="37"/>
  <c r="G70" i="37"/>
  <c r="G69" i="37"/>
  <c r="G68" i="37"/>
  <c r="G67" i="37"/>
  <c r="G66" i="37"/>
  <c r="G65" i="37"/>
  <c r="G63" i="37"/>
  <c r="G62" i="37"/>
  <c r="G61" i="37"/>
  <c r="G60" i="37"/>
  <c r="G59" i="37"/>
  <c r="G58" i="37"/>
  <c r="G57" i="37"/>
  <c r="G55" i="37"/>
  <c r="G54" i="37"/>
  <c r="G53" i="37"/>
  <c r="G52" i="37"/>
  <c r="G51" i="37"/>
  <c r="G50" i="37"/>
  <c r="G49" i="37"/>
  <c r="G48" i="37"/>
  <c r="G47" i="37"/>
  <c r="G46" i="37"/>
  <c r="G45" i="37"/>
  <c r="G44" i="37"/>
  <c r="G43" i="37"/>
  <c r="G42" i="37"/>
  <c r="G41" i="37"/>
  <c r="G39" i="37"/>
  <c r="G38" i="37"/>
  <c r="G37" i="37"/>
  <c r="G36" i="37"/>
  <c r="G35" i="37"/>
  <c r="G34" i="37"/>
  <c r="G33" i="37"/>
  <c r="G31" i="37"/>
  <c r="G30" i="37"/>
  <c r="G29" i="37"/>
  <c r="G28" i="37"/>
  <c r="G27" i="37"/>
  <c r="G26" i="37"/>
  <c r="G25" i="37"/>
  <c r="G23" i="37"/>
  <c r="G22" i="37"/>
  <c r="G21" i="37"/>
  <c r="G20" i="37"/>
  <c r="G19" i="37"/>
  <c r="R5" i="37"/>
  <c r="S5" i="37" s="1"/>
  <c r="T5" i="37" s="1"/>
  <c r="U5" i="37" s="1"/>
  <c r="V5" i="37" s="1"/>
  <c r="Q5" i="37"/>
  <c r="K5" i="37"/>
  <c r="L5" i="37" s="1"/>
  <c r="M5" i="37" s="1"/>
  <c r="N5" i="37" s="1"/>
  <c r="O5" i="37" s="1"/>
  <c r="J5" i="37"/>
  <c r="D106" i="23"/>
  <c r="E106" i="23" s="1"/>
  <c r="D107" i="23"/>
  <c r="E107" i="23" s="1"/>
  <c r="D108" i="23"/>
  <c r="E108" i="23" s="1"/>
  <c r="D109" i="23"/>
  <c r="E109" i="23" s="1"/>
  <c r="D18" i="17"/>
  <c r="E18" i="17" s="1"/>
  <c r="F18" i="17" s="1"/>
  <c r="G18" i="17" s="1"/>
  <c r="H18" i="17" s="1"/>
  <c r="C18" i="17"/>
  <c r="C37" i="17"/>
  <c r="D38" i="17"/>
  <c r="F38" i="17"/>
  <c r="D39" i="17"/>
  <c r="F39" i="17"/>
  <c r="D41" i="17"/>
  <c r="D44" i="17"/>
  <c r="D42" i="17" s="1"/>
  <c r="D45" i="17"/>
  <c r="D46" i="17"/>
  <c r="D47" i="17"/>
  <c r="E10" i="23" l="1"/>
  <c r="I7" i="40" s="1"/>
  <c r="E16" i="23"/>
  <c r="I13" i="40" s="1"/>
  <c r="E15" i="23"/>
  <c r="I12" i="40" s="1"/>
  <c r="E14" i="23"/>
  <c r="I11" i="40" s="1"/>
  <c r="E13" i="23"/>
  <c r="I10" i="40" s="1"/>
  <c r="E12" i="23"/>
  <c r="I9" i="40" s="1"/>
  <c r="E11" i="23"/>
  <c r="I8" i="40" s="1"/>
  <c r="G13" i="37"/>
  <c r="E10" i="39" s="1"/>
  <c r="G11" i="37"/>
  <c r="E8" i="39" s="1"/>
  <c r="G14" i="37"/>
  <c r="E11" i="39" s="1"/>
  <c r="G12" i="37"/>
  <c r="E9" i="39" s="1"/>
  <c r="U5" i="2"/>
  <c r="T14" i="2"/>
  <c r="T13" i="2"/>
  <c r="T17" i="2"/>
  <c r="T12" i="2"/>
  <c r="T16" i="2"/>
  <c r="T10" i="2"/>
  <c r="T11" i="2"/>
  <c r="T15" i="2"/>
  <c r="I15" i="40"/>
  <c r="B15" i="40"/>
  <c r="C15" i="40" s="1"/>
  <c r="D15" i="40" s="1"/>
  <c r="E15" i="40" s="1"/>
  <c r="F15" i="40" s="1"/>
  <c r="I61" i="40"/>
  <c r="B61" i="40"/>
  <c r="C61" i="40" s="1"/>
  <c r="D61" i="40" s="1"/>
  <c r="E61" i="40" s="1"/>
  <c r="F61" i="40" s="1"/>
  <c r="I16" i="40"/>
  <c r="B16" i="40"/>
  <c r="C16" i="40" s="1"/>
  <c r="D16" i="40" s="1"/>
  <c r="E16" i="40" s="1"/>
  <c r="F16" i="40" s="1"/>
  <c r="I60" i="40"/>
  <c r="B60" i="40"/>
  <c r="C60" i="40" s="1"/>
  <c r="D60" i="40" s="1"/>
  <c r="E60" i="40" s="1"/>
  <c r="F60" i="40" s="1"/>
  <c r="I17" i="40"/>
  <c r="B17" i="40"/>
  <c r="C17" i="40" s="1"/>
  <c r="D17" i="40" s="1"/>
  <c r="E17" i="40" s="1"/>
  <c r="F17" i="40" s="1"/>
  <c r="I59" i="40"/>
  <c r="B59" i="40"/>
  <c r="C59" i="40" s="1"/>
  <c r="D59" i="40" s="1"/>
  <c r="E59" i="40" s="1"/>
  <c r="F59" i="40" s="1"/>
  <c r="I18" i="40"/>
  <c r="B18" i="40"/>
  <c r="C18" i="40" s="1"/>
  <c r="D18" i="40" s="1"/>
  <c r="E18" i="40" s="1"/>
  <c r="F18" i="40" s="1"/>
  <c r="I58" i="40"/>
  <c r="B58" i="40"/>
  <c r="C58" i="40" s="1"/>
  <c r="D58" i="40" s="1"/>
  <c r="E58" i="40" s="1"/>
  <c r="F58" i="40" s="1"/>
  <c r="I19" i="40"/>
  <c r="B19" i="40"/>
  <c r="C19" i="40" s="1"/>
  <c r="D19" i="40" s="1"/>
  <c r="E19" i="40" s="1"/>
  <c r="F19" i="40" s="1"/>
  <c r="I20" i="40"/>
  <c r="B20" i="40"/>
  <c r="C20" i="40" s="1"/>
  <c r="D20" i="40" s="1"/>
  <c r="E20" i="40" s="1"/>
  <c r="F20" i="40" s="1"/>
  <c r="I21" i="40"/>
  <c r="B21" i="40"/>
  <c r="C21" i="40" s="1"/>
  <c r="D21" i="40" s="1"/>
  <c r="E21" i="40" s="1"/>
  <c r="F21" i="40" s="1"/>
  <c r="G10" i="37"/>
  <c r="E7" i="39" s="1"/>
  <c r="G9" i="37"/>
  <c r="E38" i="17"/>
  <c r="C38" i="17" s="1"/>
  <c r="E39" i="17"/>
  <c r="C39" i="17" s="1"/>
  <c r="D43" i="17"/>
  <c r="N10" i="40" l="1"/>
  <c r="AJ10" i="40" s="1"/>
  <c r="L10" i="40"/>
  <c r="K10" i="40"/>
  <c r="J10" i="40"/>
  <c r="M10" i="40"/>
  <c r="AI10" i="40" s="1"/>
  <c r="K9" i="40"/>
  <c r="N9" i="40"/>
  <c r="AJ9" i="40" s="1"/>
  <c r="L9" i="40"/>
  <c r="J9" i="40"/>
  <c r="M9" i="40"/>
  <c r="AI9" i="40" s="1"/>
  <c r="N13" i="40"/>
  <c r="AJ13" i="40" s="1"/>
  <c r="K13" i="40"/>
  <c r="L13" i="40"/>
  <c r="J13" i="40"/>
  <c r="M13" i="40"/>
  <c r="AI13" i="40" s="1"/>
  <c r="M8" i="40"/>
  <c r="AI8" i="40" s="1"/>
  <c r="N8" i="40"/>
  <c r="AJ8" i="40" s="1"/>
  <c r="L8" i="40"/>
  <c r="K8" i="40"/>
  <c r="J8" i="40"/>
  <c r="N11" i="40"/>
  <c r="AJ11" i="40" s="1"/>
  <c r="L11" i="40"/>
  <c r="M11" i="40"/>
  <c r="AI11" i="40" s="1"/>
  <c r="K11" i="40"/>
  <c r="J11" i="40"/>
  <c r="M12" i="40"/>
  <c r="AI12" i="40" s="1"/>
  <c r="J12" i="40"/>
  <c r="L12" i="40"/>
  <c r="N12" i="40"/>
  <c r="AJ12" i="40" s="1"/>
  <c r="K12" i="40"/>
  <c r="K7" i="40"/>
  <c r="J7" i="40"/>
  <c r="M7" i="40"/>
  <c r="AI7" i="40" s="1"/>
  <c r="N7" i="40"/>
  <c r="AJ7" i="40" s="1"/>
  <c r="L7" i="40"/>
  <c r="U10" i="2"/>
  <c r="U14" i="2"/>
  <c r="U16" i="2"/>
  <c r="U13" i="2"/>
  <c r="U17" i="2"/>
  <c r="U12" i="2"/>
  <c r="U11" i="2"/>
  <c r="U15" i="2"/>
  <c r="G58" i="40"/>
  <c r="AC58" i="40" s="1"/>
  <c r="AB58" i="40"/>
  <c r="G60" i="40"/>
  <c r="AC60" i="40" s="1"/>
  <c r="AB60" i="40"/>
  <c r="M58" i="40"/>
  <c r="AI58" i="40" s="1"/>
  <c r="L58" i="40"/>
  <c r="N58" i="40"/>
  <c r="AJ58" i="40" s="1"/>
  <c r="J58" i="40"/>
  <c r="K58" i="40"/>
  <c r="M60" i="40"/>
  <c r="AI60" i="40" s="1"/>
  <c r="L60" i="40"/>
  <c r="N60" i="40"/>
  <c r="AJ60" i="40" s="1"/>
  <c r="J60" i="40"/>
  <c r="K60" i="40"/>
  <c r="G21" i="40"/>
  <c r="AC21" i="40" s="1"/>
  <c r="AB21" i="40"/>
  <c r="G18" i="40"/>
  <c r="AC18" i="40" s="1"/>
  <c r="AB18" i="40"/>
  <c r="G16" i="40"/>
  <c r="AC16" i="40" s="1"/>
  <c r="AB16" i="40"/>
  <c r="J21" i="40"/>
  <c r="K21" i="40"/>
  <c r="L21" i="40"/>
  <c r="N21" i="40"/>
  <c r="AJ21" i="40" s="1"/>
  <c r="M21" i="40"/>
  <c r="AI21" i="40" s="1"/>
  <c r="J18" i="40"/>
  <c r="M18" i="40"/>
  <c r="AI18" i="40" s="1"/>
  <c r="K18" i="40"/>
  <c r="N18" i="40"/>
  <c r="AJ18" i="40" s="1"/>
  <c r="L18" i="40"/>
  <c r="M16" i="40"/>
  <c r="AI16" i="40" s="1"/>
  <c r="L16" i="40"/>
  <c r="K16" i="40"/>
  <c r="J16" i="40"/>
  <c r="N16" i="40"/>
  <c r="AJ16" i="40" s="1"/>
  <c r="G20" i="40"/>
  <c r="AC20" i="40" s="1"/>
  <c r="AB20" i="40"/>
  <c r="G59" i="40"/>
  <c r="AC59" i="40" s="1"/>
  <c r="AB59" i="40"/>
  <c r="G61" i="40"/>
  <c r="AC61" i="40" s="1"/>
  <c r="AB61" i="40"/>
  <c r="K20" i="40"/>
  <c r="L20" i="40"/>
  <c r="M20" i="40"/>
  <c r="AI20" i="40" s="1"/>
  <c r="J20" i="40"/>
  <c r="N20" i="40"/>
  <c r="AJ20" i="40" s="1"/>
  <c r="M59" i="40"/>
  <c r="AI59" i="40" s="1"/>
  <c r="K59" i="40"/>
  <c r="N59" i="40"/>
  <c r="AJ59" i="40" s="1"/>
  <c r="J59" i="40"/>
  <c r="L59" i="40"/>
  <c r="N61" i="40"/>
  <c r="AJ61" i="40" s="1"/>
  <c r="J61" i="40"/>
  <c r="K61" i="40"/>
  <c r="L61" i="40"/>
  <c r="M61" i="40"/>
  <c r="AI61" i="40" s="1"/>
  <c r="G19" i="40"/>
  <c r="AC19" i="40" s="1"/>
  <c r="AB19" i="40"/>
  <c r="G17" i="40"/>
  <c r="AC17" i="40" s="1"/>
  <c r="AB17" i="40"/>
  <c r="G15" i="40"/>
  <c r="AC15" i="40" s="1"/>
  <c r="AB15" i="40"/>
  <c r="K19" i="40"/>
  <c r="M19" i="40"/>
  <c r="AI19" i="40" s="1"/>
  <c r="J19" i="40"/>
  <c r="L19" i="40"/>
  <c r="N19" i="40"/>
  <c r="AJ19" i="40" s="1"/>
  <c r="J17" i="40"/>
  <c r="K17" i="40"/>
  <c r="M17" i="40"/>
  <c r="AI17" i="40" s="1"/>
  <c r="N17" i="40"/>
  <c r="AJ17" i="40" s="1"/>
  <c r="L17" i="40"/>
  <c r="K15" i="40"/>
  <c r="N15" i="40"/>
  <c r="AJ15" i="40" s="1"/>
  <c r="M15" i="40"/>
  <c r="AI15" i="40" s="1"/>
  <c r="J15" i="40"/>
  <c r="L15" i="40"/>
  <c r="E6" i="39"/>
  <c r="E44" i="17"/>
  <c r="E43" i="17" s="1"/>
  <c r="C43" i="17" s="1"/>
  <c r="E47" i="17"/>
  <c r="C47" i="17" s="1"/>
  <c r="E45" i="17"/>
  <c r="C45" i="17" s="1"/>
  <c r="E41" i="17"/>
  <c r="C41" i="17" s="1"/>
  <c r="E46" i="17"/>
  <c r="C46" i="17" s="1"/>
  <c r="C44" i="17" l="1"/>
  <c r="E42" i="17"/>
  <c r="C42" i="17" s="1"/>
  <c r="C7" i="36" l="1"/>
  <c r="C10" i="37" s="1"/>
  <c r="C7" i="39" s="1"/>
  <c r="D7" i="36"/>
  <c r="C8" i="36"/>
  <c r="C11" i="37" s="1"/>
  <c r="C8" i="39" s="1"/>
  <c r="D8" i="36"/>
  <c r="C9" i="36"/>
  <c r="C12" i="37" s="1"/>
  <c r="C9" i="39" s="1"/>
  <c r="D9" i="36"/>
  <c r="C10" i="36"/>
  <c r="C13" i="37" s="1"/>
  <c r="C10" i="39" s="1"/>
  <c r="D10" i="36"/>
  <c r="C11" i="36"/>
  <c r="C14" i="37" s="1"/>
  <c r="C11" i="39" s="1"/>
  <c r="D11" i="36"/>
  <c r="C12" i="36"/>
  <c r="C15" i="37" s="1"/>
  <c r="C12" i="39" s="1"/>
  <c r="D12" i="36"/>
  <c r="C13" i="36"/>
  <c r="C16" i="37" s="1"/>
  <c r="C13" i="39" s="1"/>
  <c r="D13" i="36"/>
  <c r="C14" i="36"/>
  <c r="C17" i="37" s="1"/>
  <c r="C14" i="39" s="1"/>
  <c r="D14" i="36"/>
  <c r="C15" i="36"/>
  <c r="C18" i="37" s="1"/>
  <c r="C15" i="39" s="1"/>
  <c r="D15" i="36"/>
  <c r="C16" i="36"/>
  <c r="C19" i="37" s="1"/>
  <c r="C16" i="39" s="1"/>
  <c r="D16" i="36"/>
  <c r="C17" i="36"/>
  <c r="C20" i="37" s="1"/>
  <c r="C17" i="39" s="1"/>
  <c r="D17" i="36"/>
  <c r="C18" i="36"/>
  <c r="C21" i="37" s="1"/>
  <c r="C18" i="39" s="1"/>
  <c r="D18" i="36"/>
  <c r="C19" i="36"/>
  <c r="C22" i="37" s="1"/>
  <c r="C19" i="39" s="1"/>
  <c r="D19" i="36"/>
  <c r="C20" i="36"/>
  <c r="C23" i="37" s="1"/>
  <c r="C20" i="39" s="1"/>
  <c r="D20" i="36"/>
  <c r="C21" i="36"/>
  <c r="C24" i="37" s="1"/>
  <c r="C21" i="39" s="1"/>
  <c r="D21" i="36"/>
  <c r="C22" i="36"/>
  <c r="C25" i="37" s="1"/>
  <c r="C22" i="39" s="1"/>
  <c r="D22" i="36"/>
  <c r="C23" i="36"/>
  <c r="C26" i="37" s="1"/>
  <c r="C23" i="39" s="1"/>
  <c r="D23" i="36"/>
  <c r="C24" i="36"/>
  <c r="C27" i="37" s="1"/>
  <c r="C24" i="39" s="1"/>
  <c r="D24" i="36"/>
  <c r="C25" i="36"/>
  <c r="C28" i="37" s="1"/>
  <c r="C25" i="39" s="1"/>
  <c r="D25" i="36"/>
  <c r="C26" i="36"/>
  <c r="C29" i="37" s="1"/>
  <c r="C26" i="39" s="1"/>
  <c r="D26" i="36"/>
  <c r="C27" i="36"/>
  <c r="C30" i="37" s="1"/>
  <c r="C27" i="39" s="1"/>
  <c r="D27" i="36"/>
  <c r="C28" i="36"/>
  <c r="C31" i="37" s="1"/>
  <c r="C28" i="39" s="1"/>
  <c r="D28" i="36"/>
  <c r="C29" i="36"/>
  <c r="C32" i="37" s="1"/>
  <c r="C29" i="39" s="1"/>
  <c r="D29" i="36"/>
  <c r="C30" i="36"/>
  <c r="C33" i="37" s="1"/>
  <c r="C30" i="39" s="1"/>
  <c r="D30" i="36"/>
  <c r="C31" i="36"/>
  <c r="C34" i="37" s="1"/>
  <c r="C31" i="39" s="1"/>
  <c r="D31" i="36"/>
  <c r="C32" i="36"/>
  <c r="C35" i="37" s="1"/>
  <c r="C32" i="39" s="1"/>
  <c r="D32" i="36"/>
  <c r="C33" i="36"/>
  <c r="C36" i="37" s="1"/>
  <c r="C33" i="39" s="1"/>
  <c r="D33" i="36"/>
  <c r="C34" i="36"/>
  <c r="C37" i="37" s="1"/>
  <c r="C34" i="39" s="1"/>
  <c r="D34" i="36"/>
  <c r="C35" i="36"/>
  <c r="C38" i="37" s="1"/>
  <c r="C35" i="39" s="1"/>
  <c r="D35" i="36"/>
  <c r="C36" i="36"/>
  <c r="C39" i="37" s="1"/>
  <c r="C36" i="39" s="1"/>
  <c r="D36" i="36"/>
  <c r="C37" i="36"/>
  <c r="C40" i="37" s="1"/>
  <c r="C37" i="39" s="1"/>
  <c r="D37" i="36"/>
  <c r="C38" i="36"/>
  <c r="C41" i="37" s="1"/>
  <c r="C38" i="39" s="1"/>
  <c r="D38" i="36"/>
  <c r="C39" i="36"/>
  <c r="C42" i="37" s="1"/>
  <c r="C39" i="39" s="1"/>
  <c r="D39" i="36"/>
  <c r="C40" i="36"/>
  <c r="C43" i="37" s="1"/>
  <c r="C40" i="39" s="1"/>
  <c r="D40" i="36"/>
  <c r="C41" i="36"/>
  <c r="C44" i="37" s="1"/>
  <c r="C41" i="39" s="1"/>
  <c r="D41" i="36"/>
  <c r="C42" i="36"/>
  <c r="C45" i="37" s="1"/>
  <c r="C42" i="39" s="1"/>
  <c r="D42" i="36"/>
  <c r="C43" i="36"/>
  <c r="C46" i="37" s="1"/>
  <c r="C43" i="39" s="1"/>
  <c r="D43" i="36"/>
  <c r="C44" i="36"/>
  <c r="C47" i="37" s="1"/>
  <c r="C44" i="39" s="1"/>
  <c r="D44" i="36"/>
  <c r="C45" i="36"/>
  <c r="C48" i="37" s="1"/>
  <c r="C45" i="39" s="1"/>
  <c r="D45" i="36"/>
  <c r="C46" i="36"/>
  <c r="C49" i="37" s="1"/>
  <c r="C46" i="39" s="1"/>
  <c r="D46" i="36"/>
  <c r="C47" i="36"/>
  <c r="C50" i="37" s="1"/>
  <c r="C47" i="39" s="1"/>
  <c r="D47" i="36"/>
  <c r="C48" i="36"/>
  <c r="C51" i="37" s="1"/>
  <c r="C48" i="39" s="1"/>
  <c r="D48" i="36"/>
  <c r="C49" i="36"/>
  <c r="C52" i="37" s="1"/>
  <c r="C49" i="39" s="1"/>
  <c r="D49" i="36"/>
  <c r="C50" i="36"/>
  <c r="C53" i="37" s="1"/>
  <c r="C50" i="39" s="1"/>
  <c r="D50" i="36"/>
  <c r="C51" i="36"/>
  <c r="C54" i="37" s="1"/>
  <c r="C51" i="39" s="1"/>
  <c r="D51" i="36"/>
  <c r="C52" i="36"/>
  <c r="C55" i="37" s="1"/>
  <c r="C52" i="39" s="1"/>
  <c r="D52" i="36"/>
  <c r="C53" i="36"/>
  <c r="C56" i="37" s="1"/>
  <c r="C53" i="39" s="1"/>
  <c r="D53" i="36"/>
  <c r="C54" i="36"/>
  <c r="C57" i="37" s="1"/>
  <c r="C54" i="39" s="1"/>
  <c r="D54" i="36"/>
  <c r="C55" i="36"/>
  <c r="C58" i="37" s="1"/>
  <c r="C55" i="39" s="1"/>
  <c r="D55" i="36"/>
  <c r="C56" i="36"/>
  <c r="C59" i="37" s="1"/>
  <c r="C56" i="39" s="1"/>
  <c r="D56" i="36"/>
  <c r="C57" i="36"/>
  <c r="C60" i="37" s="1"/>
  <c r="C57" i="39" s="1"/>
  <c r="D57" i="36"/>
  <c r="C58" i="36"/>
  <c r="C61" i="37" s="1"/>
  <c r="C58" i="39" s="1"/>
  <c r="D58" i="36"/>
  <c r="C59" i="36"/>
  <c r="C62" i="37" s="1"/>
  <c r="C59" i="39" s="1"/>
  <c r="D59" i="36"/>
  <c r="C60" i="36"/>
  <c r="C63" i="37" s="1"/>
  <c r="C60" i="39" s="1"/>
  <c r="D60" i="36"/>
  <c r="C61" i="36"/>
  <c r="C64" i="37" s="1"/>
  <c r="C61" i="39" s="1"/>
  <c r="D61" i="36"/>
  <c r="C62" i="36"/>
  <c r="C65" i="37" s="1"/>
  <c r="C62" i="39" s="1"/>
  <c r="D62" i="36"/>
  <c r="C63" i="36"/>
  <c r="C66" i="37" s="1"/>
  <c r="C63" i="39" s="1"/>
  <c r="D63" i="36"/>
  <c r="C64" i="36"/>
  <c r="C67" i="37" s="1"/>
  <c r="C64" i="39" s="1"/>
  <c r="D64" i="36"/>
  <c r="C65" i="36"/>
  <c r="C68" i="37" s="1"/>
  <c r="C65" i="39" s="1"/>
  <c r="D65" i="36"/>
  <c r="C66" i="36"/>
  <c r="C69" i="37" s="1"/>
  <c r="C66" i="39" s="1"/>
  <c r="D66" i="36"/>
  <c r="C67" i="36"/>
  <c r="C70" i="37" s="1"/>
  <c r="C67" i="39" s="1"/>
  <c r="D67" i="36"/>
  <c r="C68" i="36"/>
  <c r="C71" i="37" s="1"/>
  <c r="C68" i="39" s="1"/>
  <c r="D68" i="36"/>
  <c r="C69" i="36"/>
  <c r="C72" i="37" s="1"/>
  <c r="C69" i="39" s="1"/>
  <c r="D69" i="36"/>
  <c r="C70" i="36"/>
  <c r="C73" i="37" s="1"/>
  <c r="C70" i="39" s="1"/>
  <c r="D70" i="36"/>
  <c r="C71" i="36"/>
  <c r="C74" i="37" s="1"/>
  <c r="C71" i="39" s="1"/>
  <c r="D71" i="36"/>
  <c r="C72" i="36"/>
  <c r="C75" i="37" s="1"/>
  <c r="C72" i="39" s="1"/>
  <c r="D72" i="36"/>
  <c r="C73" i="36"/>
  <c r="C76" i="37" s="1"/>
  <c r="C73" i="39" s="1"/>
  <c r="D73" i="36"/>
  <c r="C74" i="36"/>
  <c r="C77" i="37" s="1"/>
  <c r="C74" i="39" s="1"/>
  <c r="D74" i="36"/>
  <c r="C75" i="36"/>
  <c r="C78" i="37" s="1"/>
  <c r="C75" i="39" s="1"/>
  <c r="D75" i="36"/>
  <c r="C76" i="36"/>
  <c r="C79" i="37" s="1"/>
  <c r="C76" i="39" s="1"/>
  <c r="D76" i="36"/>
  <c r="C77" i="36"/>
  <c r="C80" i="37" s="1"/>
  <c r="C77" i="39" s="1"/>
  <c r="D77" i="36"/>
  <c r="C78" i="36"/>
  <c r="C81" i="37" s="1"/>
  <c r="C78" i="39" s="1"/>
  <c r="D78" i="36"/>
  <c r="C79" i="36"/>
  <c r="C82" i="37" s="1"/>
  <c r="C79" i="39" s="1"/>
  <c r="D79" i="36"/>
  <c r="C80" i="36"/>
  <c r="C83" i="37" s="1"/>
  <c r="C80" i="39" s="1"/>
  <c r="D80" i="36"/>
  <c r="C81" i="36"/>
  <c r="C84" i="37" s="1"/>
  <c r="C81" i="39" s="1"/>
  <c r="D81" i="36"/>
  <c r="C82" i="36"/>
  <c r="C85" i="37" s="1"/>
  <c r="C82" i="39" s="1"/>
  <c r="D82" i="36"/>
  <c r="C83" i="36"/>
  <c r="C86" i="37" s="1"/>
  <c r="C83" i="39" s="1"/>
  <c r="D83" i="36"/>
  <c r="C84" i="36"/>
  <c r="C87" i="37" s="1"/>
  <c r="C84" i="39" s="1"/>
  <c r="D84" i="36"/>
  <c r="C85" i="36"/>
  <c r="C88" i="37" s="1"/>
  <c r="C85" i="39" s="1"/>
  <c r="D85" i="36"/>
  <c r="C86" i="36"/>
  <c r="C89" i="37" s="1"/>
  <c r="C86" i="39" s="1"/>
  <c r="D86" i="36"/>
  <c r="C87" i="36"/>
  <c r="C90" i="37" s="1"/>
  <c r="C87" i="39" s="1"/>
  <c r="D87" i="36"/>
  <c r="C88" i="36"/>
  <c r="C91" i="37" s="1"/>
  <c r="C88" i="39" s="1"/>
  <c r="D88" i="36"/>
  <c r="C89" i="36"/>
  <c r="C92" i="37" s="1"/>
  <c r="C89" i="39" s="1"/>
  <c r="D89" i="36"/>
  <c r="C90" i="36"/>
  <c r="C93" i="37" s="1"/>
  <c r="C90" i="39" s="1"/>
  <c r="D90" i="36"/>
  <c r="C91" i="36"/>
  <c r="C94" i="37" s="1"/>
  <c r="C91" i="39" s="1"/>
  <c r="D91" i="36"/>
  <c r="C92" i="36"/>
  <c r="C95" i="37" s="1"/>
  <c r="C92" i="39" s="1"/>
  <c r="D92" i="36"/>
  <c r="C93" i="36"/>
  <c r="C96" i="37" s="1"/>
  <c r="C93" i="39" s="1"/>
  <c r="D93" i="36"/>
  <c r="C94" i="36"/>
  <c r="C97" i="37" s="1"/>
  <c r="C94" i="39" s="1"/>
  <c r="D94" i="36"/>
  <c r="C95" i="36"/>
  <c r="C98" i="37" s="1"/>
  <c r="C95" i="39" s="1"/>
  <c r="D95" i="36"/>
  <c r="C96" i="36"/>
  <c r="C99" i="37" s="1"/>
  <c r="C96" i="39" s="1"/>
  <c r="D96" i="36"/>
  <c r="C97" i="36"/>
  <c r="C100" i="37" s="1"/>
  <c r="C97" i="39" s="1"/>
  <c r="D97" i="36"/>
  <c r="C98" i="36"/>
  <c r="C101" i="37" s="1"/>
  <c r="C98" i="39" s="1"/>
  <c r="D98" i="36"/>
  <c r="C99" i="36"/>
  <c r="C102" i="37" s="1"/>
  <c r="C99" i="39" s="1"/>
  <c r="D99" i="36"/>
  <c r="C100" i="36"/>
  <c r="C103" i="37" s="1"/>
  <c r="C100" i="39" s="1"/>
  <c r="D100" i="36"/>
  <c r="C101" i="36"/>
  <c r="C104" i="37" s="1"/>
  <c r="C101" i="39" s="1"/>
  <c r="D101" i="36"/>
  <c r="C102" i="36"/>
  <c r="C105" i="37" s="1"/>
  <c r="C102" i="39" s="1"/>
  <c r="D102" i="36"/>
  <c r="C103" i="36"/>
  <c r="C106" i="37" s="1"/>
  <c r="C103" i="39" s="1"/>
  <c r="D103" i="36"/>
  <c r="C104" i="36"/>
  <c r="C107" i="37" s="1"/>
  <c r="C104" i="39" s="1"/>
  <c r="D104" i="36"/>
  <c r="C105" i="36"/>
  <c r="C108" i="37" s="1"/>
  <c r="C105" i="39" s="1"/>
  <c r="D105" i="36"/>
  <c r="E7" i="36"/>
  <c r="D7" i="39" s="1"/>
  <c r="F7" i="36"/>
  <c r="D10" i="37" s="1"/>
  <c r="E8" i="36"/>
  <c r="D8" i="39" s="1"/>
  <c r="F8" i="36"/>
  <c r="D11" i="37" s="1"/>
  <c r="E9" i="36"/>
  <c r="D9" i="39" s="1"/>
  <c r="F9" i="36"/>
  <c r="D12" i="37" s="1"/>
  <c r="E10" i="36"/>
  <c r="D10" i="39" s="1"/>
  <c r="F10" i="36"/>
  <c r="D13" i="37" s="1"/>
  <c r="E11" i="36"/>
  <c r="D11" i="39" s="1"/>
  <c r="F11" i="36"/>
  <c r="D14" i="37" s="1"/>
  <c r="E12" i="36"/>
  <c r="D12" i="39" s="1"/>
  <c r="F12" i="36"/>
  <c r="D15" i="37" s="1"/>
  <c r="E13" i="36"/>
  <c r="F13" i="36"/>
  <c r="D16" i="37" s="1"/>
  <c r="E14" i="36"/>
  <c r="D14" i="39" s="1"/>
  <c r="F14" i="36"/>
  <c r="D17" i="37" s="1"/>
  <c r="E15" i="36"/>
  <c r="D15" i="39" s="1"/>
  <c r="F15" i="36"/>
  <c r="D18" i="37" s="1"/>
  <c r="E16" i="36"/>
  <c r="D16" i="39" s="1"/>
  <c r="F16" i="36"/>
  <c r="D19" i="37" s="1"/>
  <c r="E17" i="36"/>
  <c r="D17" i="39" s="1"/>
  <c r="F17" i="36"/>
  <c r="D20" i="37" s="1"/>
  <c r="E18" i="36"/>
  <c r="D18" i="39" s="1"/>
  <c r="F18" i="36"/>
  <c r="D21" i="37" s="1"/>
  <c r="E19" i="36"/>
  <c r="D19" i="39" s="1"/>
  <c r="F19" i="36"/>
  <c r="D22" i="37" s="1"/>
  <c r="E20" i="36"/>
  <c r="D20" i="39" s="1"/>
  <c r="F20" i="36"/>
  <c r="D23" i="37" s="1"/>
  <c r="E21" i="36"/>
  <c r="D21" i="39" s="1"/>
  <c r="F21" i="36"/>
  <c r="D24" i="37" s="1"/>
  <c r="E22" i="36"/>
  <c r="D22" i="39" s="1"/>
  <c r="F22" i="36"/>
  <c r="D25" i="37" s="1"/>
  <c r="E23" i="36"/>
  <c r="D23" i="39" s="1"/>
  <c r="F23" i="36"/>
  <c r="D26" i="37" s="1"/>
  <c r="E24" i="36"/>
  <c r="D24" i="39" s="1"/>
  <c r="F24" i="36"/>
  <c r="D27" i="37" s="1"/>
  <c r="E25" i="36"/>
  <c r="D25" i="39" s="1"/>
  <c r="F25" i="36"/>
  <c r="D28" i="37" s="1"/>
  <c r="E26" i="36"/>
  <c r="D26" i="39" s="1"/>
  <c r="F26" i="36"/>
  <c r="D29" i="37" s="1"/>
  <c r="E27" i="36"/>
  <c r="D27" i="39" s="1"/>
  <c r="F27" i="36"/>
  <c r="D30" i="37" s="1"/>
  <c r="E28" i="36"/>
  <c r="D28" i="39" s="1"/>
  <c r="F28" i="36"/>
  <c r="D31" i="37" s="1"/>
  <c r="E29" i="36"/>
  <c r="D29" i="39" s="1"/>
  <c r="F29" i="36"/>
  <c r="D32" i="37" s="1"/>
  <c r="E30" i="36"/>
  <c r="D30" i="39" s="1"/>
  <c r="F30" i="36"/>
  <c r="D33" i="37" s="1"/>
  <c r="E31" i="36"/>
  <c r="D31" i="39" s="1"/>
  <c r="F31" i="36"/>
  <c r="D34" i="37" s="1"/>
  <c r="E32" i="36"/>
  <c r="D32" i="39" s="1"/>
  <c r="F32" i="36"/>
  <c r="D35" i="37" s="1"/>
  <c r="E33" i="36"/>
  <c r="D33" i="39" s="1"/>
  <c r="F33" i="36"/>
  <c r="D36" i="37" s="1"/>
  <c r="E34" i="36"/>
  <c r="D34" i="39" s="1"/>
  <c r="F34" i="36"/>
  <c r="D37" i="37" s="1"/>
  <c r="E35" i="36"/>
  <c r="D35" i="39" s="1"/>
  <c r="F35" i="36"/>
  <c r="D38" i="37" s="1"/>
  <c r="E36" i="36"/>
  <c r="D36" i="39" s="1"/>
  <c r="F36" i="36"/>
  <c r="D39" i="37" s="1"/>
  <c r="E37" i="36"/>
  <c r="D37" i="39" s="1"/>
  <c r="F37" i="36"/>
  <c r="D40" i="37" s="1"/>
  <c r="E38" i="36"/>
  <c r="D38" i="39" s="1"/>
  <c r="F38" i="36"/>
  <c r="D41" i="37" s="1"/>
  <c r="E39" i="36"/>
  <c r="D39" i="39" s="1"/>
  <c r="F39" i="36"/>
  <c r="D42" i="37" s="1"/>
  <c r="E40" i="36"/>
  <c r="D40" i="39" s="1"/>
  <c r="F40" i="36"/>
  <c r="D43" i="37" s="1"/>
  <c r="E41" i="36"/>
  <c r="D41" i="39" s="1"/>
  <c r="F41" i="36"/>
  <c r="D44" i="37" s="1"/>
  <c r="E42" i="36"/>
  <c r="D42" i="39" s="1"/>
  <c r="F42" i="36"/>
  <c r="D45" i="37" s="1"/>
  <c r="E43" i="36"/>
  <c r="D43" i="39" s="1"/>
  <c r="F43" i="36"/>
  <c r="D46" i="37" s="1"/>
  <c r="E44" i="36"/>
  <c r="D44" i="39" s="1"/>
  <c r="F44" i="36"/>
  <c r="D47" i="37" s="1"/>
  <c r="E45" i="36"/>
  <c r="D45" i="39" s="1"/>
  <c r="F45" i="36"/>
  <c r="D48" i="37" s="1"/>
  <c r="E46" i="36"/>
  <c r="D46" i="39" s="1"/>
  <c r="F46" i="36"/>
  <c r="D49" i="37" s="1"/>
  <c r="E47" i="36"/>
  <c r="D47" i="39" s="1"/>
  <c r="F47" i="36"/>
  <c r="D50" i="37" s="1"/>
  <c r="E48" i="36"/>
  <c r="D48" i="39" s="1"/>
  <c r="F48" i="36"/>
  <c r="D51" i="37" s="1"/>
  <c r="E49" i="36"/>
  <c r="D49" i="39" s="1"/>
  <c r="F49" i="36"/>
  <c r="D52" i="37" s="1"/>
  <c r="E50" i="36"/>
  <c r="D50" i="39" s="1"/>
  <c r="F50" i="36"/>
  <c r="D53" i="37" s="1"/>
  <c r="E51" i="36"/>
  <c r="D51" i="39" s="1"/>
  <c r="F51" i="36"/>
  <c r="D54" i="37" s="1"/>
  <c r="E52" i="36"/>
  <c r="D52" i="39" s="1"/>
  <c r="F52" i="36"/>
  <c r="D55" i="37" s="1"/>
  <c r="E53" i="36"/>
  <c r="D53" i="39" s="1"/>
  <c r="F53" i="36"/>
  <c r="D56" i="37" s="1"/>
  <c r="E54" i="36"/>
  <c r="D54" i="39" s="1"/>
  <c r="F54" i="36"/>
  <c r="D57" i="37" s="1"/>
  <c r="E55" i="36"/>
  <c r="D55" i="39" s="1"/>
  <c r="F55" i="36"/>
  <c r="D58" i="37" s="1"/>
  <c r="E56" i="36"/>
  <c r="D56" i="39" s="1"/>
  <c r="F56" i="36"/>
  <c r="D59" i="37" s="1"/>
  <c r="E57" i="36"/>
  <c r="D57" i="39" s="1"/>
  <c r="F57" i="36"/>
  <c r="D60" i="37" s="1"/>
  <c r="E58" i="36"/>
  <c r="D58" i="39" s="1"/>
  <c r="F58" i="36"/>
  <c r="D61" i="37" s="1"/>
  <c r="E59" i="36"/>
  <c r="D59" i="39" s="1"/>
  <c r="F59" i="36"/>
  <c r="D62" i="37" s="1"/>
  <c r="E60" i="36"/>
  <c r="D60" i="39" s="1"/>
  <c r="F60" i="36"/>
  <c r="D63" i="37" s="1"/>
  <c r="E61" i="36"/>
  <c r="D61" i="39" s="1"/>
  <c r="F61" i="36"/>
  <c r="D64" i="37" s="1"/>
  <c r="E62" i="36"/>
  <c r="D62" i="39" s="1"/>
  <c r="F62" i="36"/>
  <c r="D65" i="37" s="1"/>
  <c r="E63" i="36"/>
  <c r="D63" i="39" s="1"/>
  <c r="F63" i="36"/>
  <c r="D66" i="37" s="1"/>
  <c r="E64" i="36"/>
  <c r="D64" i="39" s="1"/>
  <c r="F64" i="36"/>
  <c r="D67" i="37" s="1"/>
  <c r="E65" i="36"/>
  <c r="D65" i="39" s="1"/>
  <c r="F65" i="36"/>
  <c r="D68" i="37" s="1"/>
  <c r="E66" i="36"/>
  <c r="D66" i="39" s="1"/>
  <c r="F66" i="36"/>
  <c r="D69" i="37" s="1"/>
  <c r="E67" i="36"/>
  <c r="D67" i="39" s="1"/>
  <c r="F67" i="36"/>
  <c r="D70" i="37" s="1"/>
  <c r="E68" i="36"/>
  <c r="D68" i="39" s="1"/>
  <c r="F68" i="36"/>
  <c r="D71" i="37" s="1"/>
  <c r="E69" i="36"/>
  <c r="D69" i="39" s="1"/>
  <c r="F69" i="36"/>
  <c r="D72" i="37" s="1"/>
  <c r="E70" i="36"/>
  <c r="D70" i="39" s="1"/>
  <c r="F70" i="36"/>
  <c r="D73" i="37" s="1"/>
  <c r="E71" i="36"/>
  <c r="D71" i="39" s="1"/>
  <c r="F71" i="36"/>
  <c r="D74" i="37" s="1"/>
  <c r="E72" i="36"/>
  <c r="D72" i="39" s="1"/>
  <c r="F72" i="36"/>
  <c r="D75" i="37" s="1"/>
  <c r="E73" i="36"/>
  <c r="D73" i="39" s="1"/>
  <c r="F73" i="36"/>
  <c r="D76" i="37" s="1"/>
  <c r="E74" i="36"/>
  <c r="D74" i="39" s="1"/>
  <c r="F74" i="36"/>
  <c r="D77" i="37" s="1"/>
  <c r="E75" i="36"/>
  <c r="D75" i="39" s="1"/>
  <c r="F75" i="36"/>
  <c r="D78" i="37" s="1"/>
  <c r="E76" i="36"/>
  <c r="D76" i="39" s="1"/>
  <c r="F76" i="36"/>
  <c r="D79" i="37" s="1"/>
  <c r="E77" i="36"/>
  <c r="D77" i="39" s="1"/>
  <c r="F77" i="36"/>
  <c r="D80" i="37" s="1"/>
  <c r="E78" i="36"/>
  <c r="D78" i="39" s="1"/>
  <c r="F78" i="36"/>
  <c r="D81" i="37" s="1"/>
  <c r="E79" i="36"/>
  <c r="D79" i="39" s="1"/>
  <c r="F79" i="36"/>
  <c r="D82" i="37" s="1"/>
  <c r="E80" i="36"/>
  <c r="D80" i="39" s="1"/>
  <c r="F80" i="36"/>
  <c r="D83" i="37" s="1"/>
  <c r="E81" i="36"/>
  <c r="D81" i="39" s="1"/>
  <c r="F81" i="36"/>
  <c r="D84" i="37" s="1"/>
  <c r="E82" i="36"/>
  <c r="D82" i="39" s="1"/>
  <c r="F82" i="36"/>
  <c r="D85" i="37" s="1"/>
  <c r="E83" i="36"/>
  <c r="D83" i="39" s="1"/>
  <c r="F83" i="36"/>
  <c r="D86" i="37" s="1"/>
  <c r="E84" i="36"/>
  <c r="D84" i="39" s="1"/>
  <c r="F84" i="36"/>
  <c r="D87" i="37" s="1"/>
  <c r="E85" i="36"/>
  <c r="D85" i="39" s="1"/>
  <c r="F85" i="36"/>
  <c r="D88" i="37" s="1"/>
  <c r="E86" i="36"/>
  <c r="D86" i="39" s="1"/>
  <c r="F86" i="36"/>
  <c r="D89" i="37" s="1"/>
  <c r="E87" i="36"/>
  <c r="D87" i="39" s="1"/>
  <c r="F87" i="36"/>
  <c r="D90" i="37" s="1"/>
  <c r="E88" i="36"/>
  <c r="D88" i="39" s="1"/>
  <c r="F88" i="36"/>
  <c r="D91" i="37" s="1"/>
  <c r="E89" i="36"/>
  <c r="D89" i="39" s="1"/>
  <c r="F89" i="36"/>
  <c r="D92" i="37" s="1"/>
  <c r="E90" i="36"/>
  <c r="D90" i="39" s="1"/>
  <c r="F90" i="36"/>
  <c r="D93" i="37" s="1"/>
  <c r="E91" i="36"/>
  <c r="D91" i="39" s="1"/>
  <c r="F91" i="36"/>
  <c r="D94" i="37" s="1"/>
  <c r="E92" i="36"/>
  <c r="D92" i="39" s="1"/>
  <c r="F92" i="36"/>
  <c r="D95" i="37" s="1"/>
  <c r="E93" i="36"/>
  <c r="D93" i="39" s="1"/>
  <c r="F93" i="36"/>
  <c r="D96" i="37" s="1"/>
  <c r="E94" i="36"/>
  <c r="D94" i="39" s="1"/>
  <c r="F94" i="36"/>
  <c r="D97" i="37" s="1"/>
  <c r="E95" i="36"/>
  <c r="D95" i="39" s="1"/>
  <c r="F95" i="36"/>
  <c r="D98" i="37" s="1"/>
  <c r="E96" i="36"/>
  <c r="D96" i="39" s="1"/>
  <c r="F96" i="36"/>
  <c r="D99" i="37" s="1"/>
  <c r="E97" i="36"/>
  <c r="D97" i="39" s="1"/>
  <c r="F97" i="36"/>
  <c r="D100" i="37" s="1"/>
  <c r="E98" i="36"/>
  <c r="D98" i="39" s="1"/>
  <c r="F98" i="36"/>
  <c r="D101" i="37" s="1"/>
  <c r="E99" i="36"/>
  <c r="D99" i="39" s="1"/>
  <c r="F99" i="36"/>
  <c r="D102" i="37" s="1"/>
  <c r="E100" i="36"/>
  <c r="D100" i="39" s="1"/>
  <c r="F100" i="36"/>
  <c r="D103" i="37" s="1"/>
  <c r="E101" i="36"/>
  <c r="D101" i="39" s="1"/>
  <c r="F101" i="36"/>
  <c r="D104" i="37" s="1"/>
  <c r="E102" i="36"/>
  <c r="D102" i="39" s="1"/>
  <c r="F102" i="36"/>
  <c r="D105" i="37" s="1"/>
  <c r="E103" i="36"/>
  <c r="D103" i="39" s="1"/>
  <c r="F103" i="36"/>
  <c r="D106" i="37" s="1"/>
  <c r="E104" i="36"/>
  <c r="D104" i="39" s="1"/>
  <c r="F104" i="36"/>
  <c r="D107" i="37" s="1"/>
  <c r="E105" i="36"/>
  <c r="D105" i="39" s="1"/>
  <c r="F105" i="36"/>
  <c r="D108" i="37" s="1"/>
  <c r="G7" i="36"/>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H7" i="36"/>
  <c r="H8" i="36"/>
  <c r="H9" i="36"/>
  <c r="H10" i="36"/>
  <c r="H11" i="36"/>
  <c r="H12"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77" i="36"/>
  <c r="I78" i="36"/>
  <c r="I79" i="36"/>
  <c r="I80" i="36"/>
  <c r="I81" i="36"/>
  <c r="I82" i="36"/>
  <c r="I83" i="36"/>
  <c r="I84" i="36"/>
  <c r="I85" i="36"/>
  <c r="I86" i="36"/>
  <c r="I87" i="36"/>
  <c r="I88" i="36"/>
  <c r="I89" i="36"/>
  <c r="I90" i="36"/>
  <c r="I91" i="36"/>
  <c r="I92" i="36"/>
  <c r="I93" i="36"/>
  <c r="I94" i="36"/>
  <c r="I95" i="36"/>
  <c r="I96" i="36"/>
  <c r="I97" i="36"/>
  <c r="I98" i="36"/>
  <c r="I99" i="36"/>
  <c r="I100" i="36"/>
  <c r="I101" i="36"/>
  <c r="I102" i="36"/>
  <c r="I103" i="36"/>
  <c r="I104" i="36"/>
  <c r="I105" i="36"/>
  <c r="I37" i="21"/>
  <c r="I35" i="36" s="1"/>
  <c r="I9" i="21"/>
  <c r="I7" i="36" s="1"/>
  <c r="I10" i="21"/>
  <c r="I8" i="36" s="1"/>
  <c r="I11" i="21"/>
  <c r="I9" i="36" s="1"/>
  <c r="I12" i="21"/>
  <c r="I10" i="36" s="1"/>
  <c r="I13" i="21"/>
  <c r="I11" i="36" s="1"/>
  <c r="I14" i="21"/>
  <c r="I12" i="36" s="1"/>
  <c r="I15" i="21"/>
  <c r="I13" i="36" s="1"/>
  <c r="I16" i="21"/>
  <c r="I14" i="36" s="1"/>
  <c r="I17" i="21"/>
  <c r="I15" i="36" s="1"/>
  <c r="I18" i="21"/>
  <c r="I16" i="36" s="1"/>
  <c r="I19" i="21"/>
  <c r="I17" i="36" s="1"/>
  <c r="I20" i="21"/>
  <c r="I18" i="36" s="1"/>
  <c r="I21" i="21"/>
  <c r="I19" i="36" s="1"/>
  <c r="I22" i="21"/>
  <c r="I20" i="36" s="1"/>
  <c r="I23" i="21"/>
  <c r="I21" i="36" s="1"/>
  <c r="I24" i="21"/>
  <c r="I22" i="36" s="1"/>
  <c r="I25" i="21"/>
  <c r="I23" i="36" s="1"/>
  <c r="I26" i="21"/>
  <c r="I24" i="36" s="1"/>
  <c r="I27" i="21"/>
  <c r="I25" i="36" s="1"/>
  <c r="I28" i="21"/>
  <c r="I26" i="36" s="1"/>
  <c r="I29" i="21"/>
  <c r="I27" i="36" s="1"/>
  <c r="I30" i="21"/>
  <c r="I28" i="36" s="1"/>
  <c r="I31" i="21"/>
  <c r="I29" i="36" s="1"/>
  <c r="I32" i="21"/>
  <c r="I30" i="36" s="1"/>
  <c r="I33" i="21"/>
  <c r="I31" i="36" s="1"/>
  <c r="I34" i="21"/>
  <c r="I32" i="36" s="1"/>
  <c r="I35" i="21"/>
  <c r="I33" i="36" s="1"/>
  <c r="I36" i="21"/>
  <c r="I34" i="36" s="1"/>
  <c r="I8" i="21"/>
  <c r="I6" i="36" s="1"/>
  <c r="H6" i="36"/>
  <c r="G6" i="36"/>
  <c r="B7" i="36"/>
  <c r="B10" i="37" s="1"/>
  <c r="B7" i="39" s="1"/>
  <c r="B8" i="36"/>
  <c r="B11" i="37" s="1"/>
  <c r="B8" i="39" s="1"/>
  <c r="B9" i="36"/>
  <c r="B12" i="37" s="1"/>
  <c r="B9" i="39" s="1"/>
  <c r="B10" i="36"/>
  <c r="B13" i="37" s="1"/>
  <c r="B10" i="39" s="1"/>
  <c r="B11" i="36"/>
  <c r="B14" i="37" s="1"/>
  <c r="B11" i="39" s="1"/>
  <c r="B12" i="36"/>
  <c r="B15" i="37" s="1"/>
  <c r="B12" i="39" s="1"/>
  <c r="B13" i="36"/>
  <c r="B16" i="37" s="1"/>
  <c r="B13" i="39" s="1"/>
  <c r="B14" i="36"/>
  <c r="B17" i="37" s="1"/>
  <c r="B14" i="39" s="1"/>
  <c r="B15" i="36"/>
  <c r="B18" i="37" s="1"/>
  <c r="B15" i="39" s="1"/>
  <c r="B16" i="36"/>
  <c r="B19" i="37" s="1"/>
  <c r="B16" i="39" s="1"/>
  <c r="B17" i="36"/>
  <c r="B20" i="37" s="1"/>
  <c r="B17" i="39" s="1"/>
  <c r="B18" i="36"/>
  <c r="B21" i="37" s="1"/>
  <c r="B18" i="39" s="1"/>
  <c r="B19" i="36"/>
  <c r="B22" i="37" s="1"/>
  <c r="B19" i="39" s="1"/>
  <c r="B20" i="36"/>
  <c r="B23" i="37" s="1"/>
  <c r="B20" i="39" s="1"/>
  <c r="B21" i="36"/>
  <c r="B24" i="37" s="1"/>
  <c r="B21" i="39" s="1"/>
  <c r="B22" i="36"/>
  <c r="B25" i="37" s="1"/>
  <c r="B22" i="39" s="1"/>
  <c r="B23" i="36"/>
  <c r="B26" i="37" s="1"/>
  <c r="B23" i="39" s="1"/>
  <c r="B24" i="36"/>
  <c r="B27" i="37" s="1"/>
  <c r="B24" i="39" s="1"/>
  <c r="B25" i="36"/>
  <c r="B28" i="37" s="1"/>
  <c r="B25" i="39" s="1"/>
  <c r="B26" i="36"/>
  <c r="B29" i="37" s="1"/>
  <c r="B26" i="39" s="1"/>
  <c r="B27" i="36"/>
  <c r="B30" i="37" s="1"/>
  <c r="B27" i="39" s="1"/>
  <c r="B28" i="36"/>
  <c r="B31" i="37" s="1"/>
  <c r="B28" i="39" s="1"/>
  <c r="B29" i="36"/>
  <c r="B32" i="37" s="1"/>
  <c r="B29" i="39" s="1"/>
  <c r="B30" i="36"/>
  <c r="B33" i="37" s="1"/>
  <c r="B30" i="39" s="1"/>
  <c r="B31" i="36"/>
  <c r="B34" i="37" s="1"/>
  <c r="B31" i="39" s="1"/>
  <c r="B32" i="36"/>
  <c r="B35" i="37" s="1"/>
  <c r="B32" i="39" s="1"/>
  <c r="B33" i="36"/>
  <c r="B36" i="37" s="1"/>
  <c r="B33" i="39" s="1"/>
  <c r="B34" i="36"/>
  <c r="B37" i="37" s="1"/>
  <c r="B34" i="39" s="1"/>
  <c r="B35" i="36"/>
  <c r="B38" i="37" s="1"/>
  <c r="B35" i="39" s="1"/>
  <c r="B36" i="36"/>
  <c r="B39" i="37" s="1"/>
  <c r="B36" i="39" s="1"/>
  <c r="B37" i="36"/>
  <c r="B40" i="37" s="1"/>
  <c r="B37" i="39" s="1"/>
  <c r="B38" i="36"/>
  <c r="B41" i="37" s="1"/>
  <c r="B38" i="39" s="1"/>
  <c r="B39" i="36"/>
  <c r="B42" i="37" s="1"/>
  <c r="B39" i="39" s="1"/>
  <c r="B40" i="36"/>
  <c r="B43" i="37" s="1"/>
  <c r="B40" i="39" s="1"/>
  <c r="B41" i="36"/>
  <c r="B44" i="37" s="1"/>
  <c r="B41" i="39" s="1"/>
  <c r="B42" i="36"/>
  <c r="B45" i="37" s="1"/>
  <c r="B42" i="39" s="1"/>
  <c r="B43" i="36"/>
  <c r="B46" i="37" s="1"/>
  <c r="B43" i="39" s="1"/>
  <c r="B44" i="36"/>
  <c r="B47" i="37" s="1"/>
  <c r="B44" i="39" s="1"/>
  <c r="B45" i="36"/>
  <c r="B48" i="37" s="1"/>
  <c r="B45" i="39" s="1"/>
  <c r="B46" i="36"/>
  <c r="B49" i="37" s="1"/>
  <c r="B46" i="39" s="1"/>
  <c r="B47" i="36"/>
  <c r="B50" i="37" s="1"/>
  <c r="B47" i="39" s="1"/>
  <c r="B48" i="36"/>
  <c r="B51" i="37" s="1"/>
  <c r="B48" i="39" s="1"/>
  <c r="B49" i="36"/>
  <c r="B52" i="37" s="1"/>
  <c r="B49" i="39" s="1"/>
  <c r="B50" i="36"/>
  <c r="B53" i="37" s="1"/>
  <c r="B50" i="39" s="1"/>
  <c r="B51" i="36"/>
  <c r="B54" i="37" s="1"/>
  <c r="B51" i="39" s="1"/>
  <c r="B52" i="36"/>
  <c r="B55" i="37" s="1"/>
  <c r="B52" i="39" s="1"/>
  <c r="B53" i="36"/>
  <c r="B56" i="37" s="1"/>
  <c r="B53" i="39" s="1"/>
  <c r="B54" i="36"/>
  <c r="B57" i="37" s="1"/>
  <c r="B54" i="39" s="1"/>
  <c r="B55" i="36"/>
  <c r="B58" i="37" s="1"/>
  <c r="B55" i="39" s="1"/>
  <c r="B56" i="36"/>
  <c r="B59" i="37" s="1"/>
  <c r="B56" i="39" s="1"/>
  <c r="B57" i="36"/>
  <c r="B60" i="37" s="1"/>
  <c r="B57" i="39" s="1"/>
  <c r="B58" i="36"/>
  <c r="B61" i="37" s="1"/>
  <c r="B58" i="39" s="1"/>
  <c r="B59" i="36"/>
  <c r="B62" i="37" s="1"/>
  <c r="B59" i="39" s="1"/>
  <c r="B60" i="36"/>
  <c r="B63" i="37" s="1"/>
  <c r="B60" i="39" s="1"/>
  <c r="B61" i="36"/>
  <c r="B64" i="37" s="1"/>
  <c r="B61" i="39" s="1"/>
  <c r="B62" i="36"/>
  <c r="B65" i="37" s="1"/>
  <c r="B62" i="39" s="1"/>
  <c r="B63" i="36"/>
  <c r="B66" i="37" s="1"/>
  <c r="B63" i="39" s="1"/>
  <c r="B64" i="36"/>
  <c r="B67" i="37" s="1"/>
  <c r="B64" i="39" s="1"/>
  <c r="B65" i="36"/>
  <c r="B68" i="37" s="1"/>
  <c r="B65" i="39" s="1"/>
  <c r="B66" i="36"/>
  <c r="B69" i="37" s="1"/>
  <c r="B66" i="39" s="1"/>
  <c r="B67" i="36"/>
  <c r="B70" i="37" s="1"/>
  <c r="B67" i="39" s="1"/>
  <c r="B68" i="36"/>
  <c r="B71" i="37" s="1"/>
  <c r="B68" i="39" s="1"/>
  <c r="B69" i="36"/>
  <c r="B72" i="37" s="1"/>
  <c r="B69" i="39" s="1"/>
  <c r="B70" i="36"/>
  <c r="B73" i="37" s="1"/>
  <c r="B70" i="39" s="1"/>
  <c r="B71" i="36"/>
  <c r="B74" i="37" s="1"/>
  <c r="B71" i="39" s="1"/>
  <c r="B72" i="36"/>
  <c r="B75" i="37" s="1"/>
  <c r="B72" i="39" s="1"/>
  <c r="B73" i="36"/>
  <c r="B76" i="37" s="1"/>
  <c r="B73" i="39" s="1"/>
  <c r="B74" i="36"/>
  <c r="B77" i="37" s="1"/>
  <c r="B74" i="39" s="1"/>
  <c r="B75" i="36"/>
  <c r="B78" i="37" s="1"/>
  <c r="B75" i="39" s="1"/>
  <c r="B76" i="36"/>
  <c r="B79" i="37" s="1"/>
  <c r="B76" i="39" s="1"/>
  <c r="B77" i="36"/>
  <c r="B80" i="37" s="1"/>
  <c r="B77" i="39" s="1"/>
  <c r="B78" i="36"/>
  <c r="B81" i="37" s="1"/>
  <c r="B78" i="39" s="1"/>
  <c r="B79" i="36"/>
  <c r="B82" i="37" s="1"/>
  <c r="B79" i="39" s="1"/>
  <c r="B80" i="36"/>
  <c r="B83" i="37" s="1"/>
  <c r="B80" i="39" s="1"/>
  <c r="B81" i="36"/>
  <c r="B84" i="37" s="1"/>
  <c r="B81" i="39" s="1"/>
  <c r="B82" i="36"/>
  <c r="B85" i="37" s="1"/>
  <c r="B82" i="39" s="1"/>
  <c r="B83" i="36"/>
  <c r="B86" i="37" s="1"/>
  <c r="B83" i="39" s="1"/>
  <c r="B84" i="36"/>
  <c r="B87" i="37" s="1"/>
  <c r="B84" i="39" s="1"/>
  <c r="B85" i="36"/>
  <c r="B88" i="37" s="1"/>
  <c r="B85" i="39" s="1"/>
  <c r="B86" i="36"/>
  <c r="B89" i="37" s="1"/>
  <c r="B86" i="39" s="1"/>
  <c r="B87" i="36"/>
  <c r="B90" i="37" s="1"/>
  <c r="B87" i="39" s="1"/>
  <c r="B88" i="36"/>
  <c r="B91" i="37" s="1"/>
  <c r="B88" i="39" s="1"/>
  <c r="B89" i="36"/>
  <c r="B92" i="37" s="1"/>
  <c r="B89" i="39" s="1"/>
  <c r="B90" i="36"/>
  <c r="B93" i="37" s="1"/>
  <c r="B90" i="39" s="1"/>
  <c r="B91" i="36"/>
  <c r="B94" i="37" s="1"/>
  <c r="B91" i="39" s="1"/>
  <c r="B92" i="36"/>
  <c r="B95" i="37" s="1"/>
  <c r="B92" i="39" s="1"/>
  <c r="B93" i="36"/>
  <c r="B96" i="37" s="1"/>
  <c r="B93" i="39" s="1"/>
  <c r="B94" i="36"/>
  <c r="B97" i="37" s="1"/>
  <c r="B94" i="39" s="1"/>
  <c r="B95" i="36"/>
  <c r="B98" i="37" s="1"/>
  <c r="B95" i="39" s="1"/>
  <c r="B96" i="36"/>
  <c r="B99" i="37" s="1"/>
  <c r="B96" i="39" s="1"/>
  <c r="B97" i="36"/>
  <c r="B100" i="37" s="1"/>
  <c r="B97" i="39" s="1"/>
  <c r="B98" i="36"/>
  <c r="B101" i="37" s="1"/>
  <c r="B98" i="39" s="1"/>
  <c r="B99" i="36"/>
  <c r="B102" i="37" s="1"/>
  <c r="B99" i="39" s="1"/>
  <c r="B100" i="36"/>
  <c r="B103" i="37" s="1"/>
  <c r="B100" i="39" s="1"/>
  <c r="B101" i="36"/>
  <c r="B104" i="37" s="1"/>
  <c r="B101" i="39" s="1"/>
  <c r="B102" i="36"/>
  <c r="B105" i="37" s="1"/>
  <c r="B102" i="39" s="1"/>
  <c r="B103" i="36"/>
  <c r="B106" i="37" s="1"/>
  <c r="B103" i="39" s="1"/>
  <c r="B104" i="36"/>
  <c r="B107" i="37" s="1"/>
  <c r="B104" i="39" s="1"/>
  <c r="B105" i="36"/>
  <c r="B108" i="37" s="1"/>
  <c r="B105" i="39" s="1"/>
  <c r="F6" i="36"/>
  <c r="D6" i="36"/>
  <c r="C6" i="36"/>
  <c r="B6" i="36"/>
  <c r="B9" i="37" s="1"/>
  <c r="B6" i="39" s="1"/>
  <c r="Y5" i="36"/>
  <c r="Z5" i="36" s="1"/>
  <c r="AA5" i="36" s="1"/>
  <c r="AB5" i="36" s="1"/>
  <c r="AC5" i="36" s="1"/>
  <c r="AD5" i="36" s="1"/>
  <c r="R5" i="36"/>
  <c r="S5" i="36" s="1"/>
  <c r="T5" i="36" s="1"/>
  <c r="U5" i="36" s="1"/>
  <c r="V5" i="36" s="1"/>
  <c r="W5" i="36" s="1"/>
  <c r="K5" i="36"/>
  <c r="L5" i="36" s="1"/>
  <c r="M5" i="36" s="1"/>
  <c r="N5" i="36" s="1"/>
  <c r="O5" i="36" s="1"/>
  <c r="P5" i="36" s="1"/>
  <c r="H35" i="36"/>
  <c r="H34" i="36"/>
  <c r="H33" i="36"/>
  <c r="H32" i="36"/>
  <c r="H31" i="36"/>
  <c r="H30" i="36"/>
  <c r="H29" i="36"/>
  <c r="H28" i="36"/>
  <c r="H27" i="36"/>
  <c r="H26" i="36"/>
  <c r="H25" i="36"/>
  <c r="H24" i="36"/>
  <c r="H23" i="36"/>
  <c r="H22" i="36"/>
  <c r="H21" i="36"/>
  <c r="H20" i="36"/>
  <c r="H19" i="36"/>
  <c r="H18" i="36"/>
  <c r="H17" i="36"/>
  <c r="H16" i="36"/>
  <c r="H15" i="36"/>
  <c r="H14" i="36"/>
  <c r="H13" i="36"/>
  <c r="E160" i="23"/>
  <c r="H18" i="37" s="1"/>
  <c r="E143" i="23"/>
  <c r="H17" i="37" s="1"/>
  <c r="E127" i="23"/>
  <c r="H16" i="37" s="1"/>
  <c r="R85" i="39" l="1"/>
  <c r="Q85" i="39"/>
  <c r="M85" i="39"/>
  <c r="O85" i="39"/>
  <c r="N85" i="39"/>
  <c r="P85" i="39"/>
  <c r="P29" i="39"/>
  <c r="Q29" i="39"/>
  <c r="R29" i="39"/>
  <c r="M29" i="39"/>
  <c r="N29" i="39"/>
  <c r="O29" i="39"/>
  <c r="P100" i="39"/>
  <c r="M100" i="39"/>
  <c r="Q100" i="39"/>
  <c r="R100" i="39"/>
  <c r="O100" i="39"/>
  <c r="N100" i="39"/>
  <c r="P92" i="39"/>
  <c r="Q92" i="39"/>
  <c r="M92" i="39"/>
  <c r="O92" i="39"/>
  <c r="R92" i="39"/>
  <c r="N92" i="39"/>
  <c r="P84" i="39"/>
  <c r="M84" i="39"/>
  <c r="O84" i="39"/>
  <c r="Q84" i="39"/>
  <c r="R84" i="39"/>
  <c r="N84" i="39"/>
  <c r="Q76" i="39"/>
  <c r="R76" i="39"/>
  <c r="M76" i="39"/>
  <c r="O76" i="39"/>
  <c r="P76" i="39"/>
  <c r="N76" i="39"/>
  <c r="Q68" i="39"/>
  <c r="R68" i="39"/>
  <c r="M68" i="39"/>
  <c r="O68" i="39"/>
  <c r="P68" i="39"/>
  <c r="N68" i="39"/>
  <c r="Q60" i="39"/>
  <c r="R60" i="39"/>
  <c r="M60" i="39"/>
  <c r="N60" i="39"/>
  <c r="O60" i="39"/>
  <c r="P60" i="39"/>
  <c r="Q52" i="39"/>
  <c r="R52" i="39"/>
  <c r="M52" i="39"/>
  <c r="N52" i="39"/>
  <c r="O52" i="39"/>
  <c r="P52" i="39"/>
  <c r="M44" i="39"/>
  <c r="O44" i="39"/>
  <c r="N44" i="39"/>
  <c r="R44" i="39"/>
  <c r="P44" i="39"/>
  <c r="Q44" i="39"/>
  <c r="N36" i="39"/>
  <c r="O36" i="39"/>
  <c r="P36" i="39"/>
  <c r="R36" i="39"/>
  <c r="M36" i="39"/>
  <c r="Q36" i="39"/>
  <c r="N28" i="39"/>
  <c r="O28" i="39"/>
  <c r="P28" i="39"/>
  <c r="R28" i="39"/>
  <c r="Q28" i="39"/>
  <c r="M28" i="39"/>
  <c r="N20" i="39"/>
  <c r="O20" i="39"/>
  <c r="P20" i="39"/>
  <c r="R20" i="39"/>
  <c r="M20" i="39"/>
  <c r="Q20" i="39"/>
  <c r="M53" i="39"/>
  <c r="O53" i="39"/>
  <c r="P53" i="39"/>
  <c r="N53" i="39"/>
  <c r="Q53" i="39"/>
  <c r="R53" i="39"/>
  <c r="O51" i="39"/>
  <c r="P51" i="39"/>
  <c r="Q51" i="39"/>
  <c r="M51" i="39"/>
  <c r="R51" i="39"/>
  <c r="N51" i="39"/>
  <c r="R93" i="39"/>
  <c r="O93" i="39"/>
  <c r="M93" i="39"/>
  <c r="Q93" i="39"/>
  <c r="N93" i="39"/>
  <c r="P93" i="39"/>
  <c r="M61" i="39"/>
  <c r="O61" i="39"/>
  <c r="P61" i="39"/>
  <c r="Q61" i="39"/>
  <c r="N61" i="39"/>
  <c r="R61" i="39"/>
  <c r="N83" i="39"/>
  <c r="O83" i="39"/>
  <c r="P83" i="39"/>
  <c r="M83" i="39"/>
  <c r="Q83" i="39"/>
  <c r="R83" i="39"/>
  <c r="O59" i="39"/>
  <c r="P59" i="39"/>
  <c r="Q59" i="39"/>
  <c r="N59" i="39"/>
  <c r="M59" i="39"/>
  <c r="R59" i="39"/>
  <c r="M82" i="39"/>
  <c r="N82" i="39"/>
  <c r="Q82" i="39"/>
  <c r="O82" i="39"/>
  <c r="P82" i="39"/>
  <c r="R82" i="39"/>
  <c r="M50" i="39"/>
  <c r="N50" i="39"/>
  <c r="O50" i="39"/>
  <c r="Q50" i="39"/>
  <c r="R50" i="39"/>
  <c r="P50" i="39"/>
  <c r="R105" i="39"/>
  <c r="O105" i="39"/>
  <c r="Q105" i="39"/>
  <c r="M105" i="39"/>
  <c r="N105" i="39"/>
  <c r="P105" i="39"/>
  <c r="R97" i="39"/>
  <c r="O97" i="39"/>
  <c r="Q97" i="39"/>
  <c r="M97" i="39"/>
  <c r="N97" i="39"/>
  <c r="P97" i="39"/>
  <c r="R89" i="39"/>
  <c r="O89" i="39"/>
  <c r="Q89" i="39"/>
  <c r="M89" i="39"/>
  <c r="N89" i="39"/>
  <c r="P89" i="39"/>
  <c r="R81" i="39"/>
  <c r="O81" i="39"/>
  <c r="Q81" i="39"/>
  <c r="M81" i="39"/>
  <c r="N81" i="39"/>
  <c r="P81" i="39"/>
  <c r="M73" i="39"/>
  <c r="O73" i="39"/>
  <c r="Q73" i="39"/>
  <c r="P73" i="39"/>
  <c r="R73" i="39"/>
  <c r="N73" i="39"/>
  <c r="M65" i="39"/>
  <c r="O65" i="39"/>
  <c r="Q65" i="39"/>
  <c r="R65" i="39"/>
  <c r="P65" i="39"/>
  <c r="N65" i="39"/>
  <c r="M57" i="39"/>
  <c r="O57" i="39"/>
  <c r="P57" i="39"/>
  <c r="N57" i="39"/>
  <c r="Q57" i="39"/>
  <c r="R57" i="39"/>
  <c r="M49" i="39"/>
  <c r="O49" i="39"/>
  <c r="P49" i="39"/>
  <c r="N49" i="39"/>
  <c r="Q49" i="39"/>
  <c r="R49" i="39"/>
  <c r="P41" i="39"/>
  <c r="Q41" i="39"/>
  <c r="R41" i="39"/>
  <c r="M41" i="39"/>
  <c r="N41" i="39"/>
  <c r="O41" i="39"/>
  <c r="P33" i="39"/>
  <c r="Q33" i="39"/>
  <c r="R33" i="39"/>
  <c r="M33" i="39"/>
  <c r="N33" i="39"/>
  <c r="O33" i="39"/>
  <c r="P25" i="39"/>
  <c r="Q25" i="39"/>
  <c r="R25" i="39"/>
  <c r="M25" i="39"/>
  <c r="O25" i="39"/>
  <c r="N25" i="39"/>
  <c r="P17" i="39"/>
  <c r="Q17" i="39"/>
  <c r="R17" i="39"/>
  <c r="M17" i="39"/>
  <c r="N17" i="39"/>
  <c r="O17" i="39"/>
  <c r="M77" i="39"/>
  <c r="O77" i="39"/>
  <c r="R77" i="39"/>
  <c r="N77" i="39"/>
  <c r="P77" i="39"/>
  <c r="Q77" i="39"/>
  <c r="P37" i="39"/>
  <c r="Q37" i="39"/>
  <c r="R37" i="39"/>
  <c r="M37" i="39"/>
  <c r="N37" i="39"/>
  <c r="O37" i="39"/>
  <c r="O67" i="39"/>
  <c r="P67" i="39"/>
  <c r="Q67" i="39"/>
  <c r="N67" i="39"/>
  <c r="M67" i="39"/>
  <c r="R67" i="39"/>
  <c r="M27" i="39"/>
  <c r="N27" i="39"/>
  <c r="P27" i="39"/>
  <c r="Q27" i="39"/>
  <c r="R27" i="39"/>
  <c r="O27" i="39"/>
  <c r="M98" i="39"/>
  <c r="Q98" i="39"/>
  <c r="N98" i="39"/>
  <c r="O98" i="39"/>
  <c r="P98" i="39"/>
  <c r="R98" i="39"/>
  <c r="M58" i="39"/>
  <c r="N58" i="39"/>
  <c r="O58" i="39"/>
  <c r="Q58" i="39"/>
  <c r="R58" i="39"/>
  <c r="P58" i="39"/>
  <c r="R26" i="39"/>
  <c r="N26" i="39"/>
  <c r="O26" i="39"/>
  <c r="M26" i="39"/>
  <c r="P26" i="39"/>
  <c r="Q26" i="39"/>
  <c r="P104" i="39"/>
  <c r="Q104" i="39"/>
  <c r="R104" i="39"/>
  <c r="O104" i="39"/>
  <c r="M104" i="39"/>
  <c r="N104" i="39"/>
  <c r="P80" i="39"/>
  <c r="O80" i="39"/>
  <c r="Q80" i="39"/>
  <c r="R80" i="39"/>
  <c r="M80" i="39"/>
  <c r="N80" i="39"/>
  <c r="Q72" i="39"/>
  <c r="R72" i="39"/>
  <c r="M72" i="39"/>
  <c r="N72" i="39"/>
  <c r="O72" i="39"/>
  <c r="P72" i="39"/>
  <c r="Q64" i="39"/>
  <c r="R64" i="39"/>
  <c r="M64" i="39"/>
  <c r="P64" i="39"/>
  <c r="N64" i="39"/>
  <c r="O64" i="39"/>
  <c r="Q56" i="39"/>
  <c r="R56" i="39"/>
  <c r="M56" i="39"/>
  <c r="N56" i="39"/>
  <c r="O56" i="39"/>
  <c r="P56" i="39"/>
  <c r="Q48" i="39"/>
  <c r="R48" i="39"/>
  <c r="M48" i="39"/>
  <c r="N48" i="39"/>
  <c r="P48" i="39"/>
  <c r="O48" i="39"/>
  <c r="N40" i="39"/>
  <c r="O40" i="39"/>
  <c r="P40" i="39"/>
  <c r="R40" i="39"/>
  <c r="M40" i="39"/>
  <c r="Q40" i="39"/>
  <c r="N32" i="39"/>
  <c r="O32" i="39"/>
  <c r="P32" i="39"/>
  <c r="R32" i="39"/>
  <c r="Q32" i="39"/>
  <c r="M32" i="39"/>
  <c r="N24" i="39"/>
  <c r="O24" i="39"/>
  <c r="P24" i="39"/>
  <c r="R24" i="39"/>
  <c r="M24" i="39"/>
  <c r="Q24" i="39"/>
  <c r="N16" i="39"/>
  <c r="O16" i="39"/>
  <c r="P16" i="39"/>
  <c r="R16" i="39"/>
  <c r="M16" i="39"/>
  <c r="Q16" i="39"/>
  <c r="R101" i="39"/>
  <c r="Q101" i="39"/>
  <c r="M101" i="39"/>
  <c r="N101" i="39"/>
  <c r="O101" i="39"/>
  <c r="P101" i="39"/>
  <c r="M69" i="39"/>
  <c r="O69" i="39"/>
  <c r="N69" i="39"/>
  <c r="R69" i="39"/>
  <c r="P69" i="39"/>
  <c r="Q69" i="39"/>
  <c r="P21" i="39"/>
  <c r="Q21" i="39"/>
  <c r="R21" i="39"/>
  <c r="M21" i="39"/>
  <c r="O21" i="39"/>
  <c r="N21" i="39"/>
  <c r="N99" i="39"/>
  <c r="M99" i="39"/>
  <c r="O99" i="39"/>
  <c r="P99" i="39"/>
  <c r="Q99" i="39"/>
  <c r="R99" i="39"/>
  <c r="O75" i="39"/>
  <c r="P75" i="39"/>
  <c r="Q75" i="39"/>
  <c r="N75" i="39"/>
  <c r="M75" i="39"/>
  <c r="R75" i="39"/>
  <c r="M35" i="39"/>
  <c r="N35" i="39"/>
  <c r="P35" i="39"/>
  <c r="Q35" i="39"/>
  <c r="R35" i="39"/>
  <c r="O35" i="39"/>
  <c r="M19" i="39"/>
  <c r="N19" i="39"/>
  <c r="P19" i="39"/>
  <c r="Q19" i="39"/>
  <c r="O19" i="39"/>
  <c r="R19" i="39"/>
  <c r="M74" i="39"/>
  <c r="N74" i="39"/>
  <c r="O74" i="39"/>
  <c r="Q74" i="39"/>
  <c r="P74" i="39"/>
  <c r="R74" i="39"/>
  <c r="R42" i="39"/>
  <c r="N42" i="39"/>
  <c r="O42" i="39"/>
  <c r="Q42" i="39"/>
  <c r="M42" i="39"/>
  <c r="P42" i="39"/>
  <c r="R18" i="39"/>
  <c r="N18" i="39"/>
  <c r="O18" i="39"/>
  <c r="P18" i="39"/>
  <c r="Q18" i="39"/>
  <c r="M18" i="39"/>
  <c r="P88" i="39"/>
  <c r="O88" i="39"/>
  <c r="Q88" i="39"/>
  <c r="R88" i="39"/>
  <c r="M88" i="39"/>
  <c r="N88" i="39"/>
  <c r="N103" i="39"/>
  <c r="M103" i="39"/>
  <c r="O103" i="39"/>
  <c r="P103" i="39"/>
  <c r="Q103" i="39"/>
  <c r="R103" i="39"/>
  <c r="N95" i="39"/>
  <c r="M95" i="39"/>
  <c r="O95" i="39"/>
  <c r="P95" i="39"/>
  <c r="Q95" i="39"/>
  <c r="R95" i="39"/>
  <c r="N87" i="39"/>
  <c r="O87" i="39"/>
  <c r="P87" i="39"/>
  <c r="Q87" i="39"/>
  <c r="M87" i="39"/>
  <c r="R87" i="39"/>
  <c r="O79" i="39"/>
  <c r="M79" i="39"/>
  <c r="N79" i="39"/>
  <c r="P79" i="39"/>
  <c r="Q79" i="39"/>
  <c r="R79" i="39"/>
  <c r="O71" i="39"/>
  <c r="P71" i="39"/>
  <c r="Q71" i="39"/>
  <c r="M71" i="39"/>
  <c r="N71" i="39"/>
  <c r="R71" i="39"/>
  <c r="O63" i="39"/>
  <c r="P63" i="39"/>
  <c r="Q63" i="39"/>
  <c r="M63" i="39"/>
  <c r="N63" i="39"/>
  <c r="R63" i="39"/>
  <c r="O55" i="39"/>
  <c r="P55" i="39"/>
  <c r="Q55" i="39"/>
  <c r="R55" i="39"/>
  <c r="N55" i="39"/>
  <c r="M55" i="39"/>
  <c r="O47" i="39"/>
  <c r="P47" i="39"/>
  <c r="Q47" i="39"/>
  <c r="N47" i="39"/>
  <c r="M47" i="39"/>
  <c r="R47" i="39"/>
  <c r="M39" i="39"/>
  <c r="N39" i="39"/>
  <c r="P39" i="39"/>
  <c r="Q39" i="39"/>
  <c r="R39" i="39"/>
  <c r="O39" i="39"/>
  <c r="M31" i="39"/>
  <c r="N31" i="39"/>
  <c r="P31" i="39"/>
  <c r="Q31" i="39"/>
  <c r="O31" i="39"/>
  <c r="R31" i="39"/>
  <c r="M23" i="39"/>
  <c r="N23" i="39"/>
  <c r="P23" i="39"/>
  <c r="Q23" i="39"/>
  <c r="O23" i="39"/>
  <c r="R23" i="39"/>
  <c r="M15" i="39"/>
  <c r="N15" i="39"/>
  <c r="P15" i="39"/>
  <c r="Q15" i="39"/>
  <c r="O15" i="39"/>
  <c r="R15" i="39"/>
  <c r="M45" i="39"/>
  <c r="O45" i="39"/>
  <c r="P45" i="39"/>
  <c r="N45" i="39"/>
  <c r="Q45" i="39"/>
  <c r="R45" i="39"/>
  <c r="N91" i="39"/>
  <c r="O91" i="39"/>
  <c r="P91" i="39"/>
  <c r="M91" i="39"/>
  <c r="Q91" i="39"/>
  <c r="R91" i="39"/>
  <c r="M43" i="39"/>
  <c r="R43" i="39"/>
  <c r="P43" i="39"/>
  <c r="O43" i="39"/>
  <c r="Q43" i="39"/>
  <c r="N43" i="39"/>
  <c r="M90" i="39"/>
  <c r="N90" i="39"/>
  <c r="Q90" i="39"/>
  <c r="O90" i="39"/>
  <c r="P90" i="39"/>
  <c r="R90" i="39"/>
  <c r="M66" i="39"/>
  <c r="N66" i="39"/>
  <c r="O66" i="39"/>
  <c r="Q66" i="39"/>
  <c r="P66" i="39"/>
  <c r="R66" i="39"/>
  <c r="R34" i="39"/>
  <c r="N34" i="39"/>
  <c r="O34" i="39"/>
  <c r="Q34" i="39"/>
  <c r="M34" i="39"/>
  <c r="P34" i="39"/>
  <c r="P96" i="39"/>
  <c r="Q96" i="39"/>
  <c r="O96" i="39"/>
  <c r="R96" i="39"/>
  <c r="M96" i="39"/>
  <c r="N96" i="39"/>
  <c r="M102" i="39"/>
  <c r="Q102" i="39"/>
  <c r="N102" i="39"/>
  <c r="O102" i="39"/>
  <c r="P102" i="39"/>
  <c r="R102" i="39"/>
  <c r="M94" i="39"/>
  <c r="N94" i="39"/>
  <c r="O94" i="39"/>
  <c r="Q94" i="39"/>
  <c r="P94" i="39"/>
  <c r="R94" i="39"/>
  <c r="M86" i="39"/>
  <c r="Q86" i="39"/>
  <c r="N86" i="39"/>
  <c r="O86" i="39"/>
  <c r="P86" i="39"/>
  <c r="R86" i="39"/>
  <c r="M78" i="39"/>
  <c r="N78" i="39"/>
  <c r="O78" i="39"/>
  <c r="Q78" i="39"/>
  <c r="R78" i="39"/>
  <c r="P78" i="39"/>
  <c r="M70" i="39"/>
  <c r="N70" i="39"/>
  <c r="O70" i="39"/>
  <c r="Q70" i="39"/>
  <c r="R70" i="39"/>
  <c r="P70" i="39"/>
  <c r="M62" i="39"/>
  <c r="N62" i="39"/>
  <c r="O62" i="39"/>
  <c r="Q62" i="39"/>
  <c r="R62" i="39"/>
  <c r="P62" i="39"/>
  <c r="M54" i="39"/>
  <c r="N54" i="39"/>
  <c r="O54" i="39"/>
  <c r="Q54" i="39"/>
  <c r="R54" i="39"/>
  <c r="P54" i="39"/>
  <c r="M46" i="39"/>
  <c r="N46" i="39"/>
  <c r="O46" i="39"/>
  <c r="Q46" i="39"/>
  <c r="R46" i="39"/>
  <c r="P46" i="39"/>
  <c r="R38" i="39"/>
  <c r="N38" i="39"/>
  <c r="O38" i="39"/>
  <c r="M38" i="39"/>
  <c r="P38" i="39"/>
  <c r="Q38" i="39"/>
  <c r="R30" i="39"/>
  <c r="N30" i="39"/>
  <c r="O30" i="39"/>
  <c r="M30" i="39"/>
  <c r="P30" i="39"/>
  <c r="Q30" i="39"/>
  <c r="R22" i="39"/>
  <c r="N22" i="39"/>
  <c r="O22" i="39"/>
  <c r="M22" i="39"/>
  <c r="P22" i="39"/>
  <c r="Q22" i="39"/>
  <c r="R14" i="39"/>
  <c r="N14" i="39"/>
  <c r="O14" i="39"/>
  <c r="Q14" i="39"/>
  <c r="M14" i="39"/>
  <c r="P14" i="39"/>
  <c r="D9" i="37"/>
  <c r="C107" i="30"/>
  <c r="F107" i="30"/>
  <c r="G107" i="30"/>
  <c r="H112" i="30"/>
  <c r="D111" i="30"/>
  <c r="C112" i="30"/>
  <c r="H108" i="30"/>
  <c r="H111" i="30"/>
  <c r="G112" i="30"/>
  <c r="E112" i="30"/>
  <c r="F111" i="30"/>
  <c r="D109" i="30"/>
  <c r="E111" i="30"/>
  <c r="G109" i="30"/>
  <c r="C111" i="30"/>
  <c r="E108" i="30"/>
  <c r="H107" i="30"/>
  <c r="G108" i="30"/>
  <c r="C108" i="30"/>
  <c r="E109" i="30"/>
  <c r="E107" i="30"/>
  <c r="D108" i="30"/>
  <c r="D107" i="30"/>
  <c r="F108" i="30"/>
  <c r="D112" i="30"/>
  <c r="F112" i="30"/>
  <c r="C109" i="30"/>
  <c r="F109" i="30"/>
  <c r="G111" i="30"/>
  <c r="H109" i="30"/>
  <c r="C9" i="37"/>
  <c r="C6" i="39" s="1"/>
  <c r="M13" i="39"/>
  <c r="N13" i="39"/>
  <c r="O13" i="39"/>
  <c r="P13" i="39"/>
  <c r="Q13" i="39"/>
  <c r="R13" i="39"/>
  <c r="R12" i="39"/>
  <c r="M12" i="39"/>
  <c r="Q12" i="39"/>
  <c r="N12" i="39"/>
  <c r="O12" i="39"/>
  <c r="P12" i="39"/>
  <c r="D13" i="39"/>
  <c r="M102" i="36"/>
  <c r="T102" i="36" s="1"/>
  <c r="N102" i="36"/>
  <c r="U102" i="36" s="1"/>
  <c r="P102" i="36"/>
  <c r="W102" i="36" s="1"/>
  <c r="O102" i="36"/>
  <c r="V102" i="36" s="1"/>
  <c r="K102" i="36"/>
  <c r="R102" i="36" s="1"/>
  <c r="L102" i="36"/>
  <c r="S102" i="36" s="1"/>
  <c r="M98" i="36"/>
  <c r="T98" i="36" s="1"/>
  <c r="N98" i="36"/>
  <c r="U98" i="36" s="1"/>
  <c r="P98" i="36"/>
  <c r="W98" i="36" s="1"/>
  <c r="O98" i="36"/>
  <c r="V98" i="36" s="1"/>
  <c r="L98" i="36"/>
  <c r="K98" i="36"/>
  <c r="R98" i="36" s="1"/>
  <c r="M94" i="36"/>
  <c r="N94" i="36"/>
  <c r="U94" i="36" s="1"/>
  <c r="P94" i="36"/>
  <c r="W94" i="36" s="1"/>
  <c r="O94" i="36"/>
  <c r="V94" i="36" s="1"/>
  <c r="K94" i="36"/>
  <c r="R94" i="36" s="1"/>
  <c r="L94" i="36"/>
  <c r="S94" i="36" s="1"/>
  <c r="M90" i="36"/>
  <c r="T90" i="36" s="1"/>
  <c r="N90" i="36"/>
  <c r="U90" i="36" s="1"/>
  <c r="O90" i="36"/>
  <c r="V90" i="36" s="1"/>
  <c r="P90" i="36"/>
  <c r="W90" i="36" s="1"/>
  <c r="L90" i="36"/>
  <c r="S90" i="36" s="1"/>
  <c r="K90" i="36"/>
  <c r="R90" i="36" s="1"/>
  <c r="M86" i="36"/>
  <c r="T86" i="36" s="1"/>
  <c r="N86" i="36"/>
  <c r="U86" i="36" s="1"/>
  <c r="O86" i="36"/>
  <c r="V86" i="36" s="1"/>
  <c r="P86" i="36"/>
  <c r="W86" i="36" s="1"/>
  <c r="K86" i="36"/>
  <c r="R86" i="36" s="1"/>
  <c r="L86" i="36"/>
  <c r="S86" i="36" s="1"/>
  <c r="N82" i="36"/>
  <c r="U82" i="36" s="1"/>
  <c r="O82" i="36"/>
  <c r="V82" i="36" s="1"/>
  <c r="K82" i="36"/>
  <c r="R82" i="36" s="1"/>
  <c r="M82" i="36"/>
  <c r="T82" i="36" s="1"/>
  <c r="P82" i="36"/>
  <c r="W82" i="36" s="1"/>
  <c r="L82" i="36"/>
  <c r="S82" i="36" s="1"/>
  <c r="N78" i="36"/>
  <c r="O78" i="36"/>
  <c r="V78" i="36" s="1"/>
  <c r="K78" i="36"/>
  <c r="R78" i="36" s="1"/>
  <c r="M78" i="36"/>
  <c r="T78" i="36" s="1"/>
  <c r="L78" i="36"/>
  <c r="S78" i="36" s="1"/>
  <c r="P78" i="36"/>
  <c r="W78" i="36" s="1"/>
  <c r="N74" i="36"/>
  <c r="U74" i="36" s="1"/>
  <c r="O74" i="36"/>
  <c r="V74" i="36" s="1"/>
  <c r="K74" i="36"/>
  <c r="R74" i="36" s="1"/>
  <c r="M74" i="36"/>
  <c r="T74" i="36" s="1"/>
  <c r="L74" i="36"/>
  <c r="S74" i="36" s="1"/>
  <c r="P74" i="36"/>
  <c r="W74" i="36" s="1"/>
  <c r="N70" i="36"/>
  <c r="U70" i="36" s="1"/>
  <c r="O70" i="36"/>
  <c r="V70" i="36" s="1"/>
  <c r="K70" i="36"/>
  <c r="R70" i="36" s="1"/>
  <c r="M70" i="36"/>
  <c r="T70" i="36" s="1"/>
  <c r="L70" i="36"/>
  <c r="S70" i="36" s="1"/>
  <c r="P70" i="36"/>
  <c r="W70" i="36" s="1"/>
  <c r="N66" i="36"/>
  <c r="U66" i="36" s="1"/>
  <c r="O66" i="36"/>
  <c r="V66" i="36" s="1"/>
  <c r="K66" i="36"/>
  <c r="R66" i="36" s="1"/>
  <c r="M66" i="36"/>
  <c r="T66" i="36" s="1"/>
  <c r="P66" i="36"/>
  <c r="W66" i="36" s="1"/>
  <c r="L66" i="36"/>
  <c r="N62" i="36"/>
  <c r="U62" i="36" s="1"/>
  <c r="O62" i="36"/>
  <c r="V62" i="36" s="1"/>
  <c r="K62" i="36"/>
  <c r="R62" i="36" s="1"/>
  <c r="M62" i="36"/>
  <c r="L62" i="36"/>
  <c r="S62" i="36" s="1"/>
  <c r="P62" i="36"/>
  <c r="W62" i="36" s="1"/>
  <c r="N58" i="36"/>
  <c r="U58" i="36" s="1"/>
  <c r="O58" i="36"/>
  <c r="V58" i="36" s="1"/>
  <c r="K58" i="36"/>
  <c r="R58" i="36" s="1"/>
  <c r="M58" i="36"/>
  <c r="T58" i="36" s="1"/>
  <c r="L58" i="36"/>
  <c r="S58" i="36" s="1"/>
  <c r="P58" i="36"/>
  <c r="W58" i="36" s="1"/>
  <c r="N54" i="36"/>
  <c r="U54" i="36" s="1"/>
  <c r="O54" i="36"/>
  <c r="V54" i="36" s="1"/>
  <c r="K54" i="36"/>
  <c r="R54" i="36" s="1"/>
  <c r="M54" i="36"/>
  <c r="T54" i="36" s="1"/>
  <c r="L54" i="36"/>
  <c r="S54" i="36" s="1"/>
  <c r="P54" i="36"/>
  <c r="W54" i="36" s="1"/>
  <c r="N50" i="36"/>
  <c r="U50" i="36" s="1"/>
  <c r="O50" i="36"/>
  <c r="V50" i="36" s="1"/>
  <c r="P50" i="36"/>
  <c r="W50" i="36" s="1"/>
  <c r="K50" i="36"/>
  <c r="R50" i="36" s="1"/>
  <c r="M50" i="36"/>
  <c r="T50" i="36" s="1"/>
  <c r="L50" i="36"/>
  <c r="S50" i="36" s="1"/>
  <c r="N46" i="36"/>
  <c r="O46" i="36"/>
  <c r="V46" i="36" s="1"/>
  <c r="P46" i="36"/>
  <c r="W46" i="36" s="1"/>
  <c r="K46" i="36"/>
  <c r="R46" i="36" s="1"/>
  <c r="M46" i="36"/>
  <c r="T46" i="36" s="1"/>
  <c r="L46" i="36"/>
  <c r="S46" i="36" s="1"/>
  <c r="N42" i="36"/>
  <c r="U42" i="36" s="1"/>
  <c r="O42" i="36"/>
  <c r="P42" i="36"/>
  <c r="W42" i="36" s="1"/>
  <c r="K42" i="36"/>
  <c r="R42" i="36" s="1"/>
  <c r="M42" i="36"/>
  <c r="T42" i="36" s="1"/>
  <c r="L42" i="36"/>
  <c r="S42" i="36" s="1"/>
  <c r="N38" i="36"/>
  <c r="U38" i="36" s="1"/>
  <c r="O38" i="36"/>
  <c r="V38" i="36" s="1"/>
  <c r="P38" i="36"/>
  <c r="W38" i="36" s="1"/>
  <c r="K38" i="36"/>
  <c r="R38" i="36" s="1"/>
  <c r="M38" i="36"/>
  <c r="T38" i="36" s="1"/>
  <c r="L38" i="36"/>
  <c r="N34" i="36"/>
  <c r="U34" i="36" s="1"/>
  <c r="O34" i="36"/>
  <c r="V34" i="36" s="1"/>
  <c r="P34" i="36"/>
  <c r="W34" i="36" s="1"/>
  <c r="K34" i="36"/>
  <c r="R34" i="36" s="1"/>
  <c r="AA34" i="39" s="1"/>
  <c r="M34" i="36"/>
  <c r="T34" i="36" s="1"/>
  <c r="L34" i="36"/>
  <c r="N30" i="36"/>
  <c r="U30" i="36" s="1"/>
  <c r="O30" i="36"/>
  <c r="V30" i="36" s="1"/>
  <c r="P30" i="36"/>
  <c r="W30" i="36" s="1"/>
  <c r="K30" i="36"/>
  <c r="R30" i="36" s="1"/>
  <c r="AA30" i="39" s="1"/>
  <c r="L30" i="36"/>
  <c r="S30" i="36" s="1"/>
  <c r="M30" i="36"/>
  <c r="T30" i="36" s="1"/>
  <c r="N26" i="36"/>
  <c r="U26" i="36" s="1"/>
  <c r="O26" i="36"/>
  <c r="V26" i="36" s="1"/>
  <c r="P26" i="36"/>
  <c r="W26" i="36" s="1"/>
  <c r="K26" i="36"/>
  <c r="R26" i="36" s="1"/>
  <c r="AA26" i="39" s="1"/>
  <c r="L26" i="36"/>
  <c r="S26" i="36" s="1"/>
  <c r="M26" i="36"/>
  <c r="T26" i="36" s="1"/>
  <c r="N22" i="36"/>
  <c r="U22" i="36" s="1"/>
  <c r="O22" i="36"/>
  <c r="V22" i="36" s="1"/>
  <c r="P22" i="36"/>
  <c r="W22" i="36" s="1"/>
  <c r="K22" i="36"/>
  <c r="R22" i="36" s="1"/>
  <c r="AA22" i="39" s="1"/>
  <c r="L22" i="36"/>
  <c r="S22" i="36" s="1"/>
  <c r="M22" i="36"/>
  <c r="T22" i="36" s="1"/>
  <c r="N18" i="36"/>
  <c r="U18" i="36" s="1"/>
  <c r="O18" i="36"/>
  <c r="V18" i="36" s="1"/>
  <c r="P18" i="36"/>
  <c r="W18" i="36" s="1"/>
  <c r="K18" i="36"/>
  <c r="R18" i="36" s="1"/>
  <c r="AA18" i="39" s="1"/>
  <c r="L18" i="36"/>
  <c r="S18" i="36" s="1"/>
  <c r="M18" i="36"/>
  <c r="T18" i="36" s="1"/>
  <c r="K105" i="36"/>
  <c r="R105" i="36" s="1"/>
  <c r="L105" i="36"/>
  <c r="S105" i="36" s="1"/>
  <c r="M105" i="36"/>
  <c r="T105" i="36" s="1"/>
  <c r="N105" i="36"/>
  <c r="U105" i="36" s="1"/>
  <c r="O105" i="36"/>
  <c r="V105" i="36" s="1"/>
  <c r="P105" i="36"/>
  <c r="W105" i="36" s="1"/>
  <c r="K101" i="36"/>
  <c r="R101" i="36" s="1"/>
  <c r="L101" i="36"/>
  <c r="S101" i="36" s="1"/>
  <c r="M101" i="36"/>
  <c r="T101" i="36" s="1"/>
  <c r="N101" i="36"/>
  <c r="U101" i="36" s="1"/>
  <c r="O101" i="36"/>
  <c r="V101" i="36" s="1"/>
  <c r="P101" i="36"/>
  <c r="K97" i="36"/>
  <c r="R97" i="36" s="1"/>
  <c r="L97" i="36"/>
  <c r="S97" i="36" s="1"/>
  <c r="M97" i="36"/>
  <c r="T97" i="36" s="1"/>
  <c r="N97" i="36"/>
  <c r="U97" i="36" s="1"/>
  <c r="O97" i="36"/>
  <c r="V97" i="36" s="1"/>
  <c r="P97" i="36"/>
  <c r="W97" i="36" s="1"/>
  <c r="K93" i="36"/>
  <c r="R93" i="36" s="1"/>
  <c r="L93" i="36"/>
  <c r="S93" i="36" s="1"/>
  <c r="M93" i="36"/>
  <c r="T93" i="36" s="1"/>
  <c r="N93" i="36"/>
  <c r="U93" i="36" s="1"/>
  <c r="O93" i="36"/>
  <c r="V93" i="36" s="1"/>
  <c r="P93" i="36"/>
  <c r="W93" i="36" s="1"/>
  <c r="K89" i="36"/>
  <c r="R89" i="36" s="1"/>
  <c r="L89" i="36"/>
  <c r="N89" i="36"/>
  <c r="U89" i="36" s="1"/>
  <c r="M89" i="36"/>
  <c r="T89" i="36" s="1"/>
  <c r="O89" i="36"/>
  <c r="V89" i="36" s="1"/>
  <c r="P89" i="36"/>
  <c r="W89" i="36" s="1"/>
  <c r="K85" i="36"/>
  <c r="R85" i="36" s="1"/>
  <c r="L85" i="36"/>
  <c r="S85" i="36" s="1"/>
  <c r="M85" i="36"/>
  <c r="T85" i="36" s="1"/>
  <c r="N85" i="36"/>
  <c r="U85" i="36" s="1"/>
  <c r="O85" i="36"/>
  <c r="V85" i="36" s="1"/>
  <c r="P85" i="36"/>
  <c r="W85" i="36" s="1"/>
  <c r="L81" i="36"/>
  <c r="S81" i="36" s="1"/>
  <c r="M81" i="36"/>
  <c r="T81" i="36" s="1"/>
  <c r="O81" i="36"/>
  <c r="V81" i="36" s="1"/>
  <c r="K81" i="36"/>
  <c r="R81" i="36" s="1"/>
  <c r="N81" i="36"/>
  <c r="U81" i="36" s="1"/>
  <c r="P81" i="36"/>
  <c r="W81" i="36" s="1"/>
  <c r="L77" i="36"/>
  <c r="S77" i="36" s="1"/>
  <c r="M77" i="36"/>
  <c r="T77" i="36" s="1"/>
  <c r="O77" i="36"/>
  <c r="V77" i="36" s="1"/>
  <c r="K77" i="36"/>
  <c r="R77" i="36" s="1"/>
  <c r="N77" i="36"/>
  <c r="U77" i="36" s="1"/>
  <c r="P77" i="36"/>
  <c r="W77" i="36" s="1"/>
  <c r="L73" i="36"/>
  <c r="S73" i="36" s="1"/>
  <c r="M73" i="36"/>
  <c r="T73" i="36" s="1"/>
  <c r="O73" i="36"/>
  <c r="V73" i="36" s="1"/>
  <c r="K73" i="36"/>
  <c r="R73" i="36" s="1"/>
  <c r="N73" i="36"/>
  <c r="U73" i="36" s="1"/>
  <c r="P73" i="36"/>
  <c r="W73" i="36" s="1"/>
  <c r="L69" i="36"/>
  <c r="S69" i="36" s="1"/>
  <c r="M69" i="36"/>
  <c r="T69" i="36" s="1"/>
  <c r="O69" i="36"/>
  <c r="V69" i="36" s="1"/>
  <c r="P69" i="36"/>
  <c r="W69" i="36" s="1"/>
  <c r="K69" i="36"/>
  <c r="R69" i="36" s="1"/>
  <c r="N69" i="36"/>
  <c r="U69" i="36" s="1"/>
  <c r="L65" i="36"/>
  <c r="S65" i="36" s="1"/>
  <c r="M65" i="36"/>
  <c r="T65" i="36" s="1"/>
  <c r="O65" i="36"/>
  <c r="V65" i="36" s="1"/>
  <c r="P65" i="36"/>
  <c r="K65" i="36"/>
  <c r="R65" i="36" s="1"/>
  <c r="N65" i="36"/>
  <c r="U65" i="36" s="1"/>
  <c r="L61" i="36"/>
  <c r="S61" i="36" s="1"/>
  <c r="M61" i="36"/>
  <c r="T61" i="36" s="1"/>
  <c r="O61" i="36"/>
  <c r="V61" i="36" s="1"/>
  <c r="P61" i="36"/>
  <c r="K61" i="36"/>
  <c r="R61" i="36" s="1"/>
  <c r="N61" i="36"/>
  <c r="U61" i="36" s="1"/>
  <c r="L57" i="36"/>
  <c r="M57" i="36"/>
  <c r="T57" i="36" s="1"/>
  <c r="O57" i="36"/>
  <c r="V57" i="36" s="1"/>
  <c r="P57" i="36"/>
  <c r="W57" i="36" s="1"/>
  <c r="K57" i="36"/>
  <c r="R57" i="36" s="1"/>
  <c r="N57" i="36"/>
  <c r="U57" i="36" s="1"/>
  <c r="L53" i="36"/>
  <c r="S53" i="36" s="1"/>
  <c r="M53" i="36"/>
  <c r="T53" i="36" s="1"/>
  <c r="O53" i="36"/>
  <c r="V53" i="36" s="1"/>
  <c r="P53" i="36"/>
  <c r="W53" i="36" s="1"/>
  <c r="K53" i="36"/>
  <c r="R53" i="36" s="1"/>
  <c r="N53" i="36"/>
  <c r="U53" i="36" s="1"/>
  <c r="L49" i="36"/>
  <c r="S49" i="36" s="1"/>
  <c r="M49" i="36"/>
  <c r="T49" i="36" s="1"/>
  <c r="N49" i="36"/>
  <c r="U49" i="36" s="1"/>
  <c r="O49" i="36"/>
  <c r="V49" i="36" s="1"/>
  <c r="P49" i="36"/>
  <c r="K49" i="36"/>
  <c r="R49" i="36" s="1"/>
  <c r="L45" i="36"/>
  <c r="S45" i="36" s="1"/>
  <c r="M45" i="36"/>
  <c r="T45" i="36" s="1"/>
  <c r="N45" i="36"/>
  <c r="U45" i="36" s="1"/>
  <c r="O45" i="36"/>
  <c r="V45" i="36" s="1"/>
  <c r="P45" i="36"/>
  <c r="W45" i="36" s="1"/>
  <c r="K45" i="36"/>
  <c r="R45" i="36" s="1"/>
  <c r="L41" i="36"/>
  <c r="S41" i="36" s="1"/>
  <c r="M41" i="36"/>
  <c r="T41" i="36" s="1"/>
  <c r="N41" i="36"/>
  <c r="U41" i="36" s="1"/>
  <c r="O41" i="36"/>
  <c r="V41" i="36" s="1"/>
  <c r="P41" i="36"/>
  <c r="W41" i="36" s="1"/>
  <c r="K41" i="36"/>
  <c r="R41" i="36" s="1"/>
  <c r="L37" i="36"/>
  <c r="S37" i="36" s="1"/>
  <c r="M37" i="36"/>
  <c r="T37" i="36" s="1"/>
  <c r="N37" i="36"/>
  <c r="U37" i="36" s="1"/>
  <c r="O37" i="36"/>
  <c r="V37" i="36" s="1"/>
  <c r="P37" i="36"/>
  <c r="K37" i="36"/>
  <c r="R37" i="36" s="1"/>
  <c r="L33" i="36"/>
  <c r="S33" i="36" s="1"/>
  <c r="M33" i="36"/>
  <c r="T33" i="36" s="1"/>
  <c r="N33" i="36"/>
  <c r="U33" i="36" s="1"/>
  <c r="O33" i="36"/>
  <c r="V33" i="36" s="1"/>
  <c r="P33" i="36"/>
  <c r="W33" i="36" s="1"/>
  <c r="K33" i="36"/>
  <c r="R33" i="36" s="1"/>
  <c r="AA33" i="39" s="1"/>
  <c r="L29" i="36"/>
  <c r="S29" i="36" s="1"/>
  <c r="M29" i="36"/>
  <c r="T29" i="36" s="1"/>
  <c r="N29" i="36"/>
  <c r="U29" i="36" s="1"/>
  <c r="O29" i="36"/>
  <c r="V29" i="36" s="1"/>
  <c r="P29" i="36"/>
  <c r="W29" i="36" s="1"/>
  <c r="K29" i="36"/>
  <c r="R29" i="36" s="1"/>
  <c r="AA29" i="39" s="1"/>
  <c r="L25" i="36"/>
  <c r="M25" i="36"/>
  <c r="T25" i="36" s="1"/>
  <c r="N25" i="36"/>
  <c r="U25" i="36" s="1"/>
  <c r="O25" i="36"/>
  <c r="V25" i="36" s="1"/>
  <c r="P25" i="36"/>
  <c r="W25" i="36" s="1"/>
  <c r="K25" i="36"/>
  <c r="R25" i="36" s="1"/>
  <c r="AA25" i="39" s="1"/>
  <c r="L21" i="36"/>
  <c r="S21" i="36" s="1"/>
  <c r="M21" i="36"/>
  <c r="N21" i="36"/>
  <c r="U21" i="36" s="1"/>
  <c r="O21" i="36"/>
  <c r="V21" i="36" s="1"/>
  <c r="P21" i="36"/>
  <c r="W21" i="36" s="1"/>
  <c r="K21" i="36"/>
  <c r="R21" i="36" s="1"/>
  <c r="AA21" i="39" s="1"/>
  <c r="L17" i="36"/>
  <c r="S17" i="36" s="1"/>
  <c r="M17" i="36"/>
  <c r="T17" i="36" s="1"/>
  <c r="N17" i="36"/>
  <c r="U17" i="36" s="1"/>
  <c r="O17" i="36"/>
  <c r="V17" i="36" s="1"/>
  <c r="P17" i="36"/>
  <c r="W17" i="36" s="1"/>
  <c r="K17" i="36"/>
  <c r="R17" i="36" s="1"/>
  <c r="AA17" i="39" s="1"/>
  <c r="K104" i="36"/>
  <c r="R104" i="36" s="1"/>
  <c r="L104" i="36"/>
  <c r="S104" i="36" s="1"/>
  <c r="M104" i="36"/>
  <c r="T104" i="36" s="1"/>
  <c r="P104" i="36"/>
  <c r="W104" i="36" s="1"/>
  <c r="N104" i="36"/>
  <c r="U104" i="36" s="1"/>
  <c r="O104" i="36"/>
  <c r="V104" i="36" s="1"/>
  <c r="K100" i="36"/>
  <c r="R100" i="36" s="1"/>
  <c r="L100" i="36"/>
  <c r="S100" i="36" s="1"/>
  <c r="M100" i="36"/>
  <c r="T100" i="36" s="1"/>
  <c r="N100" i="36"/>
  <c r="U100" i="36" s="1"/>
  <c r="P100" i="36"/>
  <c r="W100" i="36" s="1"/>
  <c r="O100" i="36"/>
  <c r="V100" i="36" s="1"/>
  <c r="K96" i="36"/>
  <c r="R96" i="36" s="1"/>
  <c r="L96" i="36"/>
  <c r="S96" i="36" s="1"/>
  <c r="M96" i="36"/>
  <c r="T96" i="36" s="1"/>
  <c r="N96" i="36"/>
  <c r="U96" i="36" s="1"/>
  <c r="P96" i="36"/>
  <c r="W96" i="36" s="1"/>
  <c r="O96" i="36"/>
  <c r="V96" i="36" s="1"/>
  <c r="K92" i="36"/>
  <c r="R92" i="36" s="1"/>
  <c r="L92" i="36"/>
  <c r="S92" i="36" s="1"/>
  <c r="M92" i="36"/>
  <c r="T92" i="36" s="1"/>
  <c r="N92" i="36"/>
  <c r="U92" i="36" s="1"/>
  <c r="O92" i="36"/>
  <c r="V92" i="36" s="1"/>
  <c r="P92" i="36"/>
  <c r="W92" i="36" s="1"/>
  <c r="K88" i="36"/>
  <c r="R88" i="36" s="1"/>
  <c r="L88" i="36"/>
  <c r="S88" i="36" s="1"/>
  <c r="M88" i="36"/>
  <c r="T88" i="36" s="1"/>
  <c r="N88" i="36"/>
  <c r="U88" i="36" s="1"/>
  <c r="O88" i="36"/>
  <c r="V88" i="36" s="1"/>
  <c r="P88" i="36"/>
  <c r="W88" i="36" s="1"/>
  <c r="K84" i="36"/>
  <c r="R84" i="36" s="1"/>
  <c r="L84" i="36"/>
  <c r="S84" i="36" s="1"/>
  <c r="M84" i="36"/>
  <c r="T84" i="36" s="1"/>
  <c r="N84" i="36"/>
  <c r="U84" i="36" s="1"/>
  <c r="O84" i="36"/>
  <c r="V84" i="36" s="1"/>
  <c r="P84" i="36"/>
  <c r="W84" i="36" s="1"/>
  <c r="K80" i="36"/>
  <c r="R80" i="36" s="1"/>
  <c r="M80" i="36"/>
  <c r="T80" i="36" s="1"/>
  <c r="O80" i="36"/>
  <c r="V80" i="36" s="1"/>
  <c r="L80" i="36"/>
  <c r="S80" i="36" s="1"/>
  <c r="N80" i="36"/>
  <c r="U80" i="36" s="1"/>
  <c r="P80" i="36"/>
  <c r="K76" i="36"/>
  <c r="R76" i="36" s="1"/>
  <c r="M76" i="36"/>
  <c r="T76" i="36" s="1"/>
  <c r="O76" i="36"/>
  <c r="V76" i="36" s="1"/>
  <c r="L76" i="36"/>
  <c r="S76" i="36" s="1"/>
  <c r="N76" i="36"/>
  <c r="U76" i="36" s="1"/>
  <c r="P76" i="36"/>
  <c r="K72" i="36"/>
  <c r="R72" i="36" s="1"/>
  <c r="M72" i="36"/>
  <c r="T72" i="36" s="1"/>
  <c r="O72" i="36"/>
  <c r="V72" i="36" s="1"/>
  <c r="L72" i="36"/>
  <c r="S72" i="36" s="1"/>
  <c r="N72" i="36"/>
  <c r="P72" i="36"/>
  <c r="W72" i="36" s="1"/>
  <c r="K68" i="36"/>
  <c r="R68" i="36" s="1"/>
  <c r="M68" i="36"/>
  <c r="T68" i="36" s="1"/>
  <c r="N68" i="36"/>
  <c r="U68" i="36" s="1"/>
  <c r="O68" i="36"/>
  <c r="V68" i="36" s="1"/>
  <c r="L68" i="36"/>
  <c r="S68" i="36" s="1"/>
  <c r="P68" i="36"/>
  <c r="W68" i="36" s="1"/>
  <c r="K64" i="36"/>
  <c r="R64" i="36" s="1"/>
  <c r="M64" i="36"/>
  <c r="T64" i="36" s="1"/>
  <c r="N64" i="36"/>
  <c r="U64" i="36" s="1"/>
  <c r="O64" i="36"/>
  <c r="V64" i="36" s="1"/>
  <c r="L64" i="36"/>
  <c r="S64" i="36" s="1"/>
  <c r="P64" i="36"/>
  <c r="W64" i="36" s="1"/>
  <c r="K60" i="36"/>
  <c r="R60" i="36" s="1"/>
  <c r="M60" i="36"/>
  <c r="T60" i="36" s="1"/>
  <c r="N60" i="36"/>
  <c r="U60" i="36" s="1"/>
  <c r="O60" i="36"/>
  <c r="V60" i="36" s="1"/>
  <c r="L60" i="36"/>
  <c r="S60" i="36" s="1"/>
  <c r="P60" i="36"/>
  <c r="W60" i="36" s="1"/>
  <c r="K56" i="36"/>
  <c r="R56" i="36" s="1"/>
  <c r="M56" i="36"/>
  <c r="T56" i="36" s="1"/>
  <c r="N56" i="36"/>
  <c r="U56" i="36" s="1"/>
  <c r="O56" i="36"/>
  <c r="V56" i="36" s="1"/>
  <c r="L56" i="36"/>
  <c r="S56" i="36" s="1"/>
  <c r="P56" i="36"/>
  <c r="W56" i="36" s="1"/>
  <c r="K52" i="36"/>
  <c r="R52" i="36" s="1"/>
  <c r="L52" i="36"/>
  <c r="S52" i="36" s="1"/>
  <c r="M52" i="36"/>
  <c r="T52" i="36" s="1"/>
  <c r="N52" i="36"/>
  <c r="U52" i="36" s="1"/>
  <c r="O52" i="36"/>
  <c r="V52" i="36" s="1"/>
  <c r="P52" i="36"/>
  <c r="W52" i="36" s="1"/>
  <c r="K48" i="36"/>
  <c r="R48" i="36" s="1"/>
  <c r="L48" i="36"/>
  <c r="S48" i="36" s="1"/>
  <c r="M48" i="36"/>
  <c r="T48" i="36" s="1"/>
  <c r="N48" i="36"/>
  <c r="U48" i="36" s="1"/>
  <c r="O48" i="36"/>
  <c r="P48" i="36"/>
  <c r="W48" i="36" s="1"/>
  <c r="K44" i="36"/>
  <c r="R44" i="36" s="1"/>
  <c r="L44" i="36"/>
  <c r="S44" i="36" s="1"/>
  <c r="M44" i="36"/>
  <c r="T44" i="36" s="1"/>
  <c r="N44" i="36"/>
  <c r="U44" i="36" s="1"/>
  <c r="O44" i="36"/>
  <c r="V44" i="36" s="1"/>
  <c r="P44" i="36"/>
  <c r="K40" i="36"/>
  <c r="R40" i="36" s="1"/>
  <c r="L40" i="36"/>
  <c r="S40" i="36" s="1"/>
  <c r="M40" i="36"/>
  <c r="T40" i="36" s="1"/>
  <c r="N40" i="36"/>
  <c r="O40" i="36"/>
  <c r="V40" i="36" s="1"/>
  <c r="P40" i="36"/>
  <c r="W40" i="36" s="1"/>
  <c r="K36" i="36"/>
  <c r="R36" i="36" s="1"/>
  <c r="L36" i="36"/>
  <c r="S36" i="36" s="1"/>
  <c r="M36" i="36"/>
  <c r="T36" i="36" s="1"/>
  <c r="N36" i="36"/>
  <c r="U36" i="36" s="1"/>
  <c r="O36" i="36"/>
  <c r="V36" i="36" s="1"/>
  <c r="P36" i="36"/>
  <c r="W36" i="36" s="1"/>
  <c r="K32" i="36"/>
  <c r="R32" i="36" s="1"/>
  <c r="AA32" i="39" s="1"/>
  <c r="L32" i="36"/>
  <c r="S32" i="36" s="1"/>
  <c r="M32" i="36"/>
  <c r="T32" i="36" s="1"/>
  <c r="N32" i="36"/>
  <c r="U32" i="36" s="1"/>
  <c r="O32" i="36"/>
  <c r="V32" i="36" s="1"/>
  <c r="P32" i="36"/>
  <c r="W32" i="36" s="1"/>
  <c r="K28" i="36"/>
  <c r="R28" i="36" s="1"/>
  <c r="AA28" i="39" s="1"/>
  <c r="L28" i="36"/>
  <c r="S28" i="36" s="1"/>
  <c r="M28" i="36"/>
  <c r="T28" i="36" s="1"/>
  <c r="N28" i="36"/>
  <c r="O28" i="36"/>
  <c r="V28" i="36" s="1"/>
  <c r="P28" i="36"/>
  <c r="W28" i="36" s="1"/>
  <c r="K24" i="36"/>
  <c r="R24" i="36" s="1"/>
  <c r="AA24" i="39" s="1"/>
  <c r="L24" i="36"/>
  <c r="S24" i="36" s="1"/>
  <c r="M24" i="36"/>
  <c r="T24" i="36" s="1"/>
  <c r="N24" i="36"/>
  <c r="U24" i="36" s="1"/>
  <c r="O24" i="36"/>
  <c r="V24" i="36" s="1"/>
  <c r="P24" i="36"/>
  <c r="W24" i="36" s="1"/>
  <c r="K20" i="36"/>
  <c r="R20" i="36" s="1"/>
  <c r="AA20" i="39" s="1"/>
  <c r="L20" i="36"/>
  <c r="S20" i="36" s="1"/>
  <c r="M20" i="36"/>
  <c r="T20" i="36" s="1"/>
  <c r="N20" i="36"/>
  <c r="U20" i="36" s="1"/>
  <c r="O20" i="36"/>
  <c r="V20" i="36" s="1"/>
  <c r="P20" i="36"/>
  <c r="W20" i="36" s="1"/>
  <c r="K16" i="36"/>
  <c r="R16" i="36" s="1"/>
  <c r="AA16" i="39" s="1"/>
  <c r="L16" i="36"/>
  <c r="S16" i="36" s="1"/>
  <c r="M16" i="36"/>
  <c r="T16" i="36" s="1"/>
  <c r="N16" i="36"/>
  <c r="U16" i="36" s="1"/>
  <c r="O16" i="36"/>
  <c r="V16" i="36" s="1"/>
  <c r="P16" i="36"/>
  <c r="W16" i="36" s="1"/>
  <c r="N103" i="36"/>
  <c r="U103" i="36" s="1"/>
  <c r="O103" i="36"/>
  <c r="V103" i="36" s="1"/>
  <c r="P103" i="36"/>
  <c r="W103" i="36" s="1"/>
  <c r="K103" i="36"/>
  <c r="R103" i="36" s="1"/>
  <c r="L103" i="36"/>
  <c r="S103" i="36" s="1"/>
  <c r="M103" i="36"/>
  <c r="T103" i="36" s="1"/>
  <c r="O99" i="36"/>
  <c r="V99" i="36" s="1"/>
  <c r="P99" i="36"/>
  <c r="K99" i="36"/>
  <c r="R99" i="36" s="1"/>
  <c r="L99" i="36"/>
  <c r="S99" i="36" s="1"/>
  <c r="M99" i="36"/>
  <c r="N99" i="36"/>
  <c r="U99" i="36" s="1"/>
  <c r="O95" i="36"/>
  <c r="V95" i="36" s="1"/>
  <c r="P95" i="36"/>
  <c r="W95" i="36" s="1"/>
  <c r="K95" i="36"/>
  <c r="R95" i="36" s="1"/>
  <c r="L95" i="36"/>
  <c r="S95" i="36" s="1"/>
  <c r="M95" i="36"/>
  <c r="T95" i="36" s="1"/>
  <c r="N95" i="36"/>
  <c r="U95" i="36" s="1"/>
  <c r="O91" i="36"/>
  <c r="V91" i="36" s="1"/>
  <c r="P91" i="36"/>
  <c r="W91" i="36" s="1"/>
  <c r="K91" i="36"/>
  <c r="R91" i="36" s="1"/>
  <c r="L91" i="36"/>
  <c r="S91" i="36" s="1"/>
  <c r="N91" i="36"/>
  <c r="U91" i="36" s="1"/>
  <c r="M91" i="36"/>
  <c r="T91" i="36" s="1"/>
  <c r="O87" i="36"/>
  <c r="V87" i="36" s="1"/>
  <c r="P87" i="36"/>
  <c r="W87" i="36" s="1"/>
  <c r="K87" i="36"/>
  <c r="R87" i="36" s="1"/>
  <c r="L87" i="36"/>
  <c r="S87" i="36" s="1"/>
  <c r="M87" i="36"/>
  <c r="T87" i="36" s="1"/>
  <c r="N87" i="36"/>
  <c r="P83" i="36"/>
  <c r="W83" i="36" s="1"/>
  <c r="K83" i="36"/>
  <c r="R83" i="36" s="1"/>
  <c r="M83" i="36"/>
  <c r="T83" i="36" s="1"/>
  <c r="O83" i="36"/>
  <c r="L83" i="36"/>
  <c r="N83" i="36"/>
  <c r="U83" i="36" s="1"/>
  <c r="P79" i="36"/>
  <c r="W79" i="36" s="1"/>
  <c r="K79" i="36"/>
  <c r="R79" i="36" s="1"/>
  <c r="M79" i="36"/>
  <c r="T79" i="36" s="1"/>
  <c r="O79" i="36"/>
  <c r="V79" i="36" s="1"/>
  <c r="L79" i="36"/>
  <c r="S79" i="36" s="1"/>
  <c r="N79" i="36"/>
  <c r="U79" i="36" s="1"/>
  <c r="P75" i="36"/>
  <c r="W75" i="36" s="1"/>
  <c r="K75" i="36"/>
  <c r="R75" i="36" s="1"/>
  <c r="M75" i="36"/>
  <c r="T75" i="36" s="1"/>
  <c r="O75" i="36"/>
  <c r="V75" i="36" s="1"/>
  <c r="N75" i="36"/>
  <c r="U75" i="36" s="1"/>
  <c r="L75" i="36"/>
  <c r="S75" i="36" s="1"/>
  <c r="P71" i="36"/>
  <c r="W71" i="36" s="1"/>
  <c r="K71" i="36"/>
  <c r="R71" i="36" s="1"/>
  <c r="M71" i="36"/>
  <c r="T71" i="36" s="1"/>
  <c r="O71" i="36"/>
  <c r="V71" i="36" s="1"/>
  <c r="L71" i="36"/>
  <c r="N71" i="36"/>
  <c r="U71" i="36" s="1"/>
  <c r="P67" i="36"/>
  <c r="K67" i="36"/>
  <c r="R67" i="36" s="1"/>
  <c r="L67" i="36"/>
  <c r="S67" i="36" s="1"/>
  <c r="M67" i="36"/>
  <c r="T67" i="36" s="1"/>
  <c r="O67" i="36"/>
  <c r="V67" i="36" s="1"/>
  <c r="N67" i="36"/>
  <c r="U67" i="36" s="1"/>
  <c r="P63" i="36"/>
  <c r="W63" i="36" s="1"/>
  <c r="K63" i="36"/>
  <c r="R63" i="36" s="1"/>
  <c r="L63" i="36"/>
  <c r="S63" i="36" s="1"/>
  <c r="M63" i="36"/>
  <c r="T63" i="36" s="1"/>
  <c r="O63" i="36"/>
  <c r="V63" i="36" s="1"/>
  <c r="N63" i="36"/>
  <c r="U63" i="36" s="1"/>
  <c r="P59" i="36"/>
  <c r="W59" i="36" s="1"/>
  <c r="K59" i="36"/>
  <c r="R59" i="36" s="1"/>
  <c r="L59" i="36"/>
  <c r="S59" i="36" s="1"/>
  <c r="M59" i="36"/>
  <c r="T59" i="36" s="1"/>
  <c r="O59" i="36"/>
  <c r="V59" i="36" s="1"/>
  <c r="N59" i="36"/>
  <c r="U59" i="36" s="1"/>
  <c r="P55" i="36"/>
  <c r="W55" i="36" s="1"/>
  <c r="K55" i="36"/>
  <c r="R55" i="36" s="1"/>
  <c r="L55" i="36"/>
  <c r="S55" i="36" s="1"/>
  <c r="M55" i="36"/>
  <c r="T55" i="36" s="1"/>
  <c r="O55" i="36"/>
  <c r="V55" i="36" s="1"/>
  <c r="N55" i="36"/>
  <c r="P51" i="36"/>
  <c r="W51" i="36" s="1"/>
  <c r="K51" i="36"/>
  <c r="R51" i="36" s="1"/>
  <c r="L51" i="36"/>
  <c r="M51" i="36"/>
  <c r="O51" i="36"/>
  <c r="N51" i="36"/>
  <c r="U51" i="36" s="1"/>
  <c r="P47" i="36"/>
  <c r="W47" i="36" s="1"/>
  <c r="K47" i="36"/>
  <c r="R47" i="36" s="1"/>
  <c r="L47" i="36"/>
  <c r="S47" i="36" s="1"/>
  <c r="M47" i="36"/>
  <c r="T47" i="36" s="1"/>
  <c r="O47" i="36"/>
  <c r="V47" i="36" s="1"/>
  <c r="N47" i="36"/>
  <c r="U47" i="36" s="1"/>
  <c r="P43" i="36"/>
  <c r="W43" i="36" s="1"/>
  <c r="K43" i="36"/>
  <c r="R43" i="36" s="1"/>
  <c r="L43" i="36"/>
  <c r="M43" i="36"/>
  <c r="T43" i="36" s="1"/>
  <c r="O43" i="36"/>
  <c r="V43" i="36" s="1"/>
  <c r="N43" i="36"/>
  <c r="U43" i="36" s="1"/>
  <c r="P39" i="36"/>
  <c r="W39" i="36" s="1"/>
  <c r="K39" i="36"/>
  <c r="R39" i="36" s="1"/>
  <c r="L39" i="36"/>
  <c r="S39" i="36" s="1"/>
  <c r="M39" i="36"/>
  <c r="T39" i="36" s="1"/>
  <c r="O39" i="36"/>
  <c r="V39" i="36" s="1"/>
  <c r="N39" i="36"/>
  <c r="U39" i="36" s="1"/>
  <c r="P35" i="36"/>
  <c r="K35" i="36"/>
  <c r="R35" i="36" s="1"/>
  <c r="AA35" i="39" s="1"/>
  <c r="L35" i="36"/>
  <c r="S35" i="36" s="1"/>
  <c r="M35" i="36"/>
  <c r="O35" i="36"/>
  <c r="V35" i="36" s="1"/>
  <c r="N35" i="36"/>
  <c r="U35" i="36" s="1"/>
  <c r="P31" i="36"/>
  <c r="W31" i="36" s="1"/>
  <c r="K31" i="36"/>
  <c r="R31" i="36" s="1"/>
  <c r="AA31" i="39" s="1"/>
  <c r="L31" i="36"/>
  <c r="S31" i="36" s="1"/>
  <c r="M31" i="36"/>
  <c r="T31" i="36" s="1"/>
  <c r="O31" i="36"/>
  <c r="V31" i="36" s="1"/>
  <c r="N31" i="36"/>
  <c r="U31" i="36" s="1"/>
  <c r="P27" i="36"/>
  <c r="W27" i="36" s="1"/>
  <c r="K27" i="36"/>
  <c r="R27" i="36" s="1"/>
  <c r="L27" i="36"/>
  <c r="S27" i="36" s="1"/>
  <c r="M27" i="36"/>
  <c r="T27" i="36" s="1"/>
  <c r="N27" i="36"/>
  <c r="U27" i="36" s="1"/>
  <c r="O27" i="36"/>
  <c r="V27" i="36" s="1"/>
  <c r="P23" i="36"/>
  <c r="W23" i="36" s="1"/>
  <c r="K23" i="36"/>
  <c r="R23" i="36" s="1"/>
  <c r="AA23" i="39" s="1"/>
  <c r="L23" i="36"/>
  <c r="M23" i="36"/>
  <c r="T23" i="36" s="1"/>
  <c r="N23" i="36"/>
  <c r="O23" i="36"/>
  <c r="V23" i="36" s="1"/>
  <c r="P19" i="36"/>
  <c r="W19" i="36" s="1"/>
  <c r="K19" i="36"/>
  <c r="R19" i="36" s="1"/>
  <c r="AA19" i="39" s="1"/>
  <c r="L19" i="36"/>
  <c r="M19" i="36"/>
  <c r="T19" i="36" s="1"/>
  <c r="N19" i="36"/>
  <c r="U19" i="36" s="1"/>
  <c r="O19" i="36"/>
  <c r="V19" i="36" s="1"/>
  <c r="P14" i="36"/>
  <c r="W14" i="36" s="1"/>
  <c r="O14" i="36"/>
  <c r="V14" i="36" s="1"/>
  <c r="K14" i="36"/>
  <c r="R14" i="36" s="1"/>
  <c r="AA14" i="39" s="1"/>
  <c r="L14" i="36"/>
  <c r="S14" i="36" s="1"/>
  <c r="M14" i="36"/>
  <c r="T14" i="36" s="1"/>
  <c r="N14" i="36"/>
  <c r="U14" i="36" s="1"/>
  <c r="N13" i="36"/>
  <c r="U13" i="36" s="1"/>
  <c r="O13" i="36"/>
  <c r="V13" i="36" s="1"/>
  <c r="P13" i="36"/>
  <c r="W13" i="36" s="1"/>
  <c r="L13" i="36"/>
  <c r="S13" i="36" s="1"/>
  <c r="M13" i="36"/>
  <c r="T13" i="36" s="1"/>
  <c r="K13" i="36"/>
  <c r="R13" i="36" s="1"/>
  <c r="AA13" i="39" s="1"/>
  <c r="K12" i="36"/>
  <c r="L12" i="36"/>
  <c r="M12" i="36"/>
  <c r="N12" i="36"/>
  <c r="O12" i="36"/>
  <c r="P12" i="36"/>
  <c r="P15" i="36"/>
  <c r="W15" i="36" s="1"/>
  <c r="K15" i="36"/>
  <c r="R15" i="36" s="1"/>
  <c r="AA15" i="39" s="1"/>
  <c r="L15" i="36"/>
  <c r="S15" i="36" s="1"/>
  <c r="O15" i="36"/>
  <c r="V15" i="36" s="1"/>
  <c r="M15" i="36"/>
  <c r="T15" i="36" s="1"/>
  <c r="N15" i="36"/>
  <c r="U15" i="36" s="1"/>
  <c r="AO13" i="39" l="1"/>
  <c r="Y19" i="36"/>
  <c r="T19" i="39" s="1"/>
  <c r="F19" i="39" s="1"/>
  <c r="AH19" i="39" s="1"/>
  <c r="D22" i="22"/>
  <c r="Z96" i="36"/>
  <c r="AB96" i="39"/>
  <c r="AB61" i="36"/>
  <c r="W61" i="39" s="1"/>
  <c r="I61" i="39" s="1"/>
  <c r="AD61" i="39"/>
  <c r="AC35" i="36"/>
  <c r="X35" i="39" s="1"/>
  <c r="J35" i="39" s="1"/>
  <c r="AE35" i="39"/>
  <c r="AO32" i="39"/>
  <c r="AA44" i="36"/>
  <c r="V44" i="39" s="1"/>
  <c r="AC44" i="39"/>
  <c r="AQ44" i="39" s="1"/>
  <c r="Z56" i="36"/>
  <c r="U56" i="39" s="1"/>
  <c r="G56" i="39" s="1"/>
  <c r="AB56" i="39"/>
  <c r="AA92" i="36"/>
  <c r="V92" i="39" s="1"/>
  <c r="H92" i="39" s="1"/>
  <c r="AC92" i="39"/>
  <c r="AC81" i="36"/>
  <c r="N84" i="37" s="1"/>
  <c r="AE81" i="39"/>
  <c r="AA64" i="36"/>
  <c r="V64" i="39" s="1"/>
  <c r="H64" i="39" s="1"/>
  <c r="AC64" i="39"/>
  <c r="AA37" i="36"/>
  <c r="V37" i="39" s="1"/>
  <c r="H37" i="39" s="1"/>
  <c r="AC37" i="39"/>
  <c r="AD27" i="36"/>
  <c r="Y27" i="39" s="1"/>
  <c r="K27" i="39" s="1"/>
  <c r="AF27" i="39"/>
  <c r="AD59" i="36"/>
  <c r="Y59" i="39" s="1"/>
  <c r="K59" i="39" s="1"/>
  <c r="AF59" i="39"/>
  <c r="AD75" i="36"/>
  <c r="Y75" i="39" s="1"/>
  <c r="K75" i="39" s="1"/>
  <c r="AF75" i="39"/>
  <c r="AA28" i="36"/>
  <c r="V28" i="39" s="1"/>
  <c r="H28" i="39" s="1"/>
  <c r="AC28" i="39"/>
  <c r="AB77" i="36"/>
  <c r="W77" i="39" s="1"/>
  <c r="I77" i="39" s="1"/>
  <c r="AD77" i="39"/>
  <c r="AD82" i="36"/>
  <c r="V85" i="37" s="1"/>
  <c r="AF82" i="39"/>
  <c r="Z48" i="36"/>
  <c r="U48" i="39" s="1"/>
  <c r="G48" i="39" s="1"/>
  <c r="AB48" i="39"/>
  <c r="AB97" i="36"/>
  <c r="W97" i="39" s="1"/>
  <c r="I97" i="39" s="1"/>
  <c r="AD97" i="39"/>
  <c r="Y95" i="36"/>
  <c r="Q98" i="37" s="1"/>
  <c r="AA95" i="39"/>
  <c r="AB51" i="36"/>
  <c r="W51" i="39" s="1"/>
  <c r="I51" i="39" s="1"/>
  <c r="AD51" i="39"/>
  <c r="Z76" i="36"/>
  <c r="U76" i="39" s="1"/>
  <c r="G76" i="39" s="1"/>
  <c r="AB76" i="39"/>
  <c r="AD73" i="36"/>
  <c r="Y73" i="39" s="1"/>
  <c r="K73" i="39" s="1"/>
  <c r="AF73" i="39"/>
  <c r="AO21" i="39"/>
  <c r="Z29" i="36"/>
  <c r="U29" i="39" s="1"/>
  <c r="G29" i="39" s="1"/>
  <c r="AB29" i="39"/>
  <c r="AC46" i="36"/>
  <c r="X46" i="39" s="1"/>
  <c r="J46" i="39" s="1"/>
  <c r="AE46" i="39"/>
  <c r="Z80" i="36"/>
  <c r="U80" i="39" s="1"/>
  <c r="G80" i="39" s="1"/>
  <c r="AB80" i="39"/>
  <c r="AA55" i="36"/>
  <c r="V55" i="39" s="1"/>
  <c r="H55" i="39" s="1"/>
  <c r="AC55" i="39"/>
  <c r="AO33" i="39"/>
  <c r="Z17" i="36"/>
  <c r="U17" i="39" s="1"/>
  <c r="G17" i="39" s="1"/>
  <c r="AB17" i="39"/>
  <c r="AO24" i="39"/>
  <c r="AC70" i="36"/>
  <c r="X70" i="39" s="1"/>
  <c r="J70" i="39" s="1"/>
  <c r="AE70" i="39"/>
  <c r="AB17" i="36"/>
  <c r="W17" i="39" s="1"/>
  <c r="I17" i="39" s="1"/>
  <c r="AD17" i="39"/>
  <c r="AA80" i="36"/>
  <c r="V80" i="39" s="1"/>
  <c r="H80" i="39" s="1"/>
  <c r="AC80" i="39"/>
  <c r="AB41" i="36"/>
  <c r="W41" i="39" s="1"/>
  <c r="I41" i="39" s="1"/>
  <c r="AD41" i="39"/>
  <c r="AD13" i="36"/>
  <c r="Y13" i="39" s="1"/>
  <c r="K13" i="39" s="1"/>
  <c r="AF13" i="39"/>
  <c r="AD29" i="36"/>
  <c r="Y29" i="39" s="1"/>
  <c r="K29" i="39" s="1"/>
  <c r="AF29" i="39"/>
  <c r="AD45" i="36"/>
  <c r="Y45" i="39" s="1"/>
  <c r="K45" i="39" s="1"/>
  <c r="AF45" i="39"/>
  <c r="Z59" i="36"/>
  <c r="U59" i="39" s="1"/>
  <c r="G59" i="39" s="1"/>
  <c r="AB59" i="39"/>
  <c r="AD77" i="36"/>
  <c r="Y77" i="39" s="1"/>
  <c r="K77" i="39" s="1"/>
  <c r="AF77" i="39"/>
  <c r="Z91" i="36"/>
  <c r="U91" i="39" s="1"/>
  <c r="G91" i="39" s="1"/>
  <c r="AB91" i="39"/>
  <c r="Z103" i="36"/>
  <c r="U103" i="39" s="1"/>
  <c r="G103" i="39" s="1"/>
  <c r="AB103" i="39"/>
  <c r="AA31" i="36"/>
  <c r="V31" i="39" s="1"/>
  <c r="AC31" i="39"/>
  <c r="AQ31" i="39" s="1"/>
  <c r="AC56" i="36"/>
  <c r="X56" i="39" s="1"/>
  <c r="J56" i="39" s="1"/>
  <c r="AE56" i="39"/>
  <c r="AC72" i="36"/>
  <c r="X72" i="39" s="1"/>
  <c r="J72" i="39" s="1"/>
  <c r="AE72" i="39"/>
  <c r="AA91" i="36"/>
  <c r="V91" i="39" s="1"/>
  <c r="AC91" i="39"/>
  <c r="AQ91" i="39" s="1"/>
  <c r="Z18" i="36"/>
  <c r="U18" i="39" s="1"/>
  <c r="G18" i="39" s="1"/>
  <c r="AB18" i="39"/>
  <c r="Z30" i="36"/>
  <c r="U30" i="39" s="1"/>
  <c r="G30" i="39" s="1"/>
  <c r="AB30" i="39"/>
  <c r="Z46" i="36"/>
  <c r="U46" i="39" s="1"/>
  <c r="G46" i="39" s="1"/>
  <c r="AB46" i="39"/>
  <c r="AB59" i="36"/>
  <c r="W59" i="39" s="1"/>
  <c r="I59" i="39" s="1"/>
  <c r="AD59" i="39"/>
  <c r="AD72" i="36"/>
  <c r="Y72" i="39" s="1"/>
  <c r="K72" i="39" s="1"/>
  <c r="AF72" i="39"/>
  <c r="Z90" i="36"/>
  <c r="U90" i="39" s="1"/>
  <c r="G90" i="39" s="1"/>
  <c r="AB90" i="39"/>
  <c r="AB103" i="36"/>
  <c r="W103" i="39" s="1"/>
  <c r="I103" i="39" s="1"/>
  <c r="AD103" i="39"/>
  <c r="AC23" i="36"/>
  <c r="X23" i="39" s="1"/>
  <c r="J23" i="39" s="1"/>
  <c r="AE23" i="39"/>
  <c r="AA34" i="36"/>
  <c r="V34" i="39" s="1"/>
  <c r="AC34" i="39"/>
  <c r="AQ34" i="39" s="1"/>
  <c r="Y45" i="36"/>
  <c r="T45" i="39" s="1"/>
  <c r="F45" i="39" s="1"/>
  <c r="AA45" i="39"/>
  <c r="Y57" i="36"/>
  <c r="T57" i="39" s="1"/>
  <c r="F57" i="39" s="1"/>
  <c r="AA57" i="39"/>
  <c r="AA70" i="36"/>
  <c r="V70" i="39" s="1"/>
  <c r="H70" i="39" s="1"/>
  <c r="AC70" i="39"/>
  <c r="AA82" i="36"/>
  <c r="V82" i="39" s="1"/>
  <c r="H82" i="39" s="1"/>
  <c r="AC82" i="39"/>
  <c r="AC95" i="36"/>
  <c r="X95" i="39" s="1"/>
  <c r="J95" i="39" s="1"/>
  <c r="AE95" i="39"/>
  <c r="AD19" i="36"/>
  <c r="Y19" i="39" s="1"/>
  <c r="K19" i="39" s="1"/>
  <c r="AF19" i="39"/>
  <c r="AD31" i="36"/>
  <c r="Y31" i="39" s="1"/>
  <c r="AF31" i="39"/>
  <c r="AT31" i="39" s="1"/>
  <c r="Z45" i="36"/>
  <c r="U45" i="39" s="1"/>
  <c r="G45" i="39" s="1"/>
  <c r="AB45" i="39"/>
  <c r="AB74" i="36"/>
  <c r="W74" i="39" s="1"/>
  <c r="I74" i="39" s="1"/>
  <c r="AD74" i="39"/>
  <c r="AD87" i="36"/>
  <c r="Y87" i="39" s="1"/>
  <c r="K87" i="39" s="1"/>
  <c r="AF87" i="39"/>
  <c r="AB102" i="36"/>
  <c r="W102" i="39" s="1"/>
  <c r="I102" i="39" s="1"/>
  <c r="AD102" i="39"/>
  <c r="AA25" i="36"/>
  <c r="V25" i="39" s="1"/>
  <c r="AC25" i="39"/>
  <c r="AQ25" i="39" s="1"/>
  <c r="AA49" i="36"/>
  <c r="V49" i="39" s="1"/>
  <c r="H49" i="39" s="1"/>
  <c r="AC49" i="39"/>
  <c r="Y60" i="36"/>
  <c r="T60" i="39" s="1"/>
  <c r="F60" i="39" s="1"/>
  <c r="AA60" i="39"/>
  <c r="Y72" i="36"/>
  <c r="T72" i="39" s="1"/>
  <c r="F72" i="39" s="1"/>
  <c r="AA72" i="39"/>
  <c r="AC82" i="36"/>
  <c r="X82" i="39" s="1"/>
  <c r="J82" i="39" s="1"/>
  <c r="AE82" i="39"/>
  <c r="AC94" i="36"/>
  <c r="X94" i="39" s="1"/>
  <c r="J94" i="39" s="1"/>
  <c r="AE94" i="39"/>
  <c r="Z20" i="36"/>
  <c r="U20" i="39" s="1"/>
  <c r="G20" i="39" s="1"/>
  <c r="AB20" i="39"/>
  <c r="Z100" i="36"/>
  <c r="U100" i="39" s="1"/>
  <c r="G100" i="39" s="1"/>
  <c r="AB100" i="39"/>
  <c r="AD74" i="36"/>
  <c r="Y74" i="39" s="1"/>
  <c r="K74" i="39" s="1"/>
  <c r="AF74" i="39"/>
  <c r="AC73" i="36"/>
  <c r="X73" i="39" s="1"/>
  <c r="J73" i="39" s="1"/>
  <c r="AE73" i="39"/>
  <c r="AC41" i="36"/>
  <c r="X41" i="39" s="1"/>
  <c r="J41" i="39" s="1"/>
  <c r="AE41" i="39"/>
  <c r="AD78" i="36"/>
  <c r="Y78" i="39" s="1"/>
  <c r="K78" i="39" s="1"/>
  <c r="AF78" i="39"/>
  <c r="Y42" i="36"/>
  <c r="T42" i="39" s="1"/>
  <c r="F42" i="39" s="1"/>
  <c r="AA42" i="39"/>
  <c r="AA60" i="36"/>
  <c r="V60" i="39" s="1"/>
  <c r="H60" i="39" s="1"/>
  <c r="AC60" i="39"/>
  <c r="AC45" i="36"/>
  <c r="U48" i="37" s="1"/>
  <c r="AE45" i="39"/>
  <c r="AC15" i="36"/>
  <c r="X15" i="39" s="1"/>
  <c r="J15" i="39" s="1"/>
  <c r="AE15" i="39"/>
  <c r="AB14" i="36"/>
  <c r="W14" i="39" s="1"/>
  <c r="I14" i="39" s="1"/>
  <c r="AD14" i="39"/>
  <c r="Y39" i="36"/>
  <c r="AA39" i="39"/>
  <c r="AB56" i="36"/>
  <c r="W56" i="39" s="1"/>
  <c r="I56" i="39" s="1"/>
  <c r="AD56" i="39"/>
  <c r="AB27" i="36"/>
  <c r="W27" i="39" s="1"/>
  <c r="I27" i="39" s="1"/>
  <c r="AD27" i="39"/>
  <c r="AA42" i="36"/>
  <c r="V42" i="39" s="1"/>
  <c r="AC42" i="39"/>
  <c r="AQ42" i="39" s="1"/>
  <c r="Z85" i="36"/>
  <c r="U85" i="39" s="1"/>
  <c r="G85" i="39" s="1"/>
  <c r="AB85" i="39"/>
  <c r="AC21" i="36"/>
  <c r="X21" i="39" s="1"/>
  <c r="J21" i="39" s="1"/>
  <c r="AE21" i="39"/>
  <c r="AD89" i="36"/>
  <c r="Y89" i="39" s="1"/>
  <c r="K89" i="39" s="1"/>
  <c r="AF89" i="39"/>
  <c r="AC88" i="36"/>
  <c r="X88" i="39" s="1"/>
  <c r="J88" i="39" s="1"/>
  <c r="AE88" i="39"/>
  <c r="AD88" i="36"/>
  <c r="Y88" i="39" s="1"/>
  <c r="K88" i="39" s="1"/>
  <c r="AF88" i="39"/>
  <c r="AC55" i="36"/>
  <c r="X55" i="39" s="1"/>
  <c r="J55" i="39" s="1"/>
  <c r="AE55" i="39"/>
  <c r="AB58" i="36"/>
  <c r="W58" i="39" s="1"/>
  <c r="I58" i="39" s="1"/>
  <c r="AD58" i="39"/>
  <c r="AC58" i="36"/>
  <c r="X58" i="39" s="1"/>
  <c r="J58" i="39" s="1"/>
  <c r="AE58" i="39"/>
  <c r="AD22" i="36"/>
  <c r="Y22" i="39" s="1"/>
  <c r="K22" i="39" s="1"/>
  <c r="AF22" i="39"/>
  <c r="Z47" i="36"/>
  <c r="U47" i="39" s="1"/>
  <c r="G47" i="39" s="1"/>
  <c r="AB47" i="39"/>
  <c r="AB92" i="36"/>
  <c r="W92" i="39" s="1"/>
  <c r="I92" i="39" s="1"/>
  <c r="AD92" i="39"/>
  <c r="AC32" i="36"/>
  <c r="X32" i="39" s="1"/>
  <c r="J32" i="39" s="1"/>
  <c r="AE32" i="39"/>
  <c r="AA75" i="36"/>
  <c r="V75" i="39" s="1"/>
  <c r="H75" i="39" s="1"/>
  <c r="AC75" i="39"/>
  <c r="AA95" i="36"/>
  <c r="V95" i="39" s="1"/>
  <c r="H95" i="39" s="1"/>
  <c r="AC95" i="39"/>
  <c r="AB31" i="36"/>
  <c r="W31" i="39" s="1"/>
  <c r="AD31" i="39"/>
  <c r="AR31" i="39" s="1"/>
  <c r="AB47" i="36"/>
  <c r="W47" i="39" s="1"/>
  <c r="I47" i="39" s="1"/>
  <c r="AD47" i="39"/>
  <c r="AD60" i="36"/>
  <c r="Y60" i="39" s="1"/>
  <c r="K60" i="39" s="1"/>
  <c r="AF60" i="39"/>
  <c r="AB75" i="36"/>
  <c r="W75" i="39" s="1"/>
  <c r="I75" i="39" s="1"/>
  <c r="AD75" i="39"/>
  <c r="AB91" i="36"/>
  <c r="W91" i="39" s="1"/>
  <c r="I91" i="39" s="1"/>
  <c r="AD91" i="39"/>
  <c r="AD104" i="36"/>
  <c r="Y104" i="39" s="1"/>
  <c r="K104" i="39" s="1"/>
  <c r="AF104" i="39"/>
  <c r="AO25" i="39"/>
  <c r="AA46" i="36"/>
  <c r="V46" i="39" s="1"/>
  <c r="H46" i="39" s="1"/>
  <c r="AC46" i="39"/>
  <c r="AA58" i="36"/>
  <c r="V58" i="39" s="1"/>
  <c r="H58" i="39" s="1"/>
  <c r="AC58" i="39"/>
  <c r="Y73" i="36"/>
  <c r="T73" i="39" s="1"/>
  <c r="F73" i="39" s="1"/>
  <c r="AA73" i="39"/>
  <c r="Y85" i="36"/>
  <c r="T85" i="39" s="1"/>
  <c r="F85" i="39" s="1"/>
  <c r="AA85" i="39"/>
  <c r="Y97" i="36"/>
  <c r="T97" i="39" s="1"/>
  <c r="F97" i="39" s="1"/>
  <c r="AA97" i="39"/>
  <c r="Z21" i="36"/>
  <c r="U21" i="39" s="1"/>
  <c r="G21" i="39" s="1"/>
  <c r="AB21" i="39"/>
  <c r="Z33" i="36"/>
  <c r="U33" i="39" s="1"/>
  <c r="G33" i="39" s="1"/>
  <c r="AB33" i="39"/>
  <c r="AD47" i="36"/>
  <c r="Y47" i="39" s="1"/>
  <c r="AF47" i="39"/>
  <c r="Z61" i="36"/>
  <c r="U61" i="39" s="1"/>
  <c r="G61" i="39" s="1"/>
  <c r="AB61" i="39"/>
  <c r="AB90" i="36"/>
  <c r="W90" i="39" s="1"/>
  <c r="AD90" i="39"/>
  <c r="AR90" i="39" s="1"/>
  <c r="AD103" i="36"/>
  <c r="Y103" i="39" s="1"/>
  <c r="K103" i="39" s="1"/>
  <c r="AF103" i="39"/>
  <c r="AC26" i="36"/>
  <c r="X26" i="39" s="1"/>
  <c r="J26" i="39" s="1"/>
  <c r="AE26" i="39"/>
  <c r="AC38" i="36"/>
  <c r="X38" i="39" s="1"/>
  <c r="J38" i="39" s="1"/>
  <c r="AE38" i="39"/>
  <c r="AC50" i="36"/>
  <c r="X50" i="39" s="1"/>
  <c r="J50" i="39" s="1"/>
  <c r="AE50" i="39"/>
  <c r="AA61" i="36"/>
  <c r="V61" i="39" s="1"/>
  <c r="H61" i="39" s="1"/>
  <c r="AC61" i="39"/>
  <c r="AA73" i="36"/>
  <c r="V73" i="39" s="1"/>
  <c r="H73" i="39" s="1"/>
  <c r="AC73" i="39"/>
  <c r="Y84" i="36"/>
  <c r="T84" i="39" s="1"/>
  <c r="F84" i="39" s="1"/>
  <c r="AA84" i="39"/>
  <c r="Y96" i="36"/>
  <c r="T96" i="39" s="1"/>
  <c r="F96" i="39" s="1"/>
  <c r="AA96" i="39"/>
  <c r="Z24" i="36"/>
  <c r="U24" i="39" s="1"/>
  <c r="G24" i="39" s="1"/>
  <c r="AB24" i="39"/>
  <c r="AA100" i="36"/>
  <c r="V100" i="39" s="1"/>
  <c r="H100" i="39" s="1"/>
  <c r="AC100" i="39"/>
  <c r="AA76" i="36"/>
  <c r="V76" i="39" s="1"/>
  <c r="H76" i="39" s="1"/>
  <c r="AC76" i="39"/>
  <c r="Z44" i="36"/>
  <c r="U44" i="39" s="1"/>
  <c r="G44" i="39" s="1"/>
  <c r="AB44" i="39"/>
  <c r="AB105" i="36"/>
  <c r="W105" i="39" s="1"/>
  <c r="I105" i="39" s="1"/>
  <c r="AD105" i="39"/>
  <c r="AB69" i="36"/>
  <c r="W69" i="39" s="1"/>
  <c r="I69" i="39" s="1"/>
  <c r="AD69" i="39"/>
  <c r="AB37" i="36"/>
  <c r="W37" i="39" s="1"/>
  <c r="I37" i="39" s="1"/>
  <c r="AD37" i="39"/>
  <c r="AD98" i="36"/>
  <c r="Y98" i="39" s="1"/>
  <c r="K98" i="39" s="1"/>
  <c r="AF98" i="39"/>
  <c r="AD102" i="36"/>
  <c r="Y102" i="39" s="1"/>
  <c r="K102" i="39" s="1"/>
  <c r="AF102" i="39"/>
  <c r="AD62" i="36"/>
  <c r="Y62" i="39" s="1"/>
  <c r="K62" i="39" s="1"/>
  <c r="AF62" i="39"/>
  <c r="AD26" i="36"/>
  <c r="Y26" i="39" s="1"/>
  <c r="AF26" i="39"/>
  <c r="AT26" i="39" s="1"/>
  <c r="AB85" i="36"/>
  <c r="W85" i="39" s="1"/>
  <c r="AD85" i="39"/>
  <c r="AA56" i="36"/>
  <c r="V56" i="39" s="1"/>
  <c r="H56" i="39" s="1"/>
  <c r="AC56" i="39"/>
  <c r="Y98" i="36"/>
  <c r="AA98" i="39"/>
  <c r="Y99" i="36"/>
  <c r="AA99" i="39"/>
  <c r="AC61" i="36"/>
  <c r="AE61" i="39"/>
  <c r="AC24" i="36"/>
  <c r="X24" i="39" s="1"/>
  <c r="J24" i="39" s="1"/>
  <c r="AE24" i="39"/>
  <c r="Z14" i="36"/>
  <c r="U14" i="39" s="1"/>
  <c r="G14" i="39" s="1"/>
  <c r="AB14" i="39"/>
  <c r="AC31" i="36"/>
  <c r="X31" i="39" s="1"/>
  <c r="J31" i="39" s="1"/>
  <c r="AE31" i="39"/>
  <c r="AC91" i="36"/>
  <c r="X91" i="39" s="1"/>
  <c r="J91" i="39" s="1"/>
  <c r="AE91" i="39"/>
  <c r="AB70" i="36"/>
  <c r="W70" i="39" s="1"/>
  <c r="I70" i="39" s="1"/>
  <c r="AD70" i="39"/>
  <c r="AA69" i="36"/>
  <c r="V69" i="39" s="1"/>
  <c r="H69" i="39" s="1"/>
  <c r="AC69" i="39"/>
  <c r="AC105" i="36"/>
  <c r="X105" i="39" s="1"/>
  <c r="J105" i="39" s="1"/>
  <c r="AE105" i="39"/>
  <c r="AD57" i="36"/>
  <c r="Y57" i="39" s="1"/>
  <c r="K57" i="39" s="1"/>
  <c r="AF57" i="39"/>
  <c r="AA71" i="36"/>
  <c r="V71" i="39" s="1"/>
  <c r="H71" i="39" s="1"/>
  <c r="AC71" i="39"/>
  <c r="AD56" i="36"/>
  <c r="Y56" i="39" s="1"/>
  <c r="K56" i="39" s="1"/>
  <c r="AF56" i="39"/>
  <c r="Y69" i="36"/>
  <c r="T69" i="39" s="1"/>
  <c r="F69" i="39" s="1"/>
  <c r="AA69" i="39"/>
  <c r="AB86" i="36"/>
  <c r="W86" i="39" s="1"/>
  <c r="I86" i="39" s="1"/>
  <c r="AD86" i="39"/>
  <c r="AD50" i="36"/>
  <c r="Y50" i="39" s="1"/>
  <c r="AF50" i="39"/>
  <c r="AT50" i="39" s="1"/>
  <c r="Z31" i="36"/>
  <c r="U31" i="39" s="1"/>
  <c r="G31" i="39" s="1"/>
  <c r="AB31" i="39"/>
  <c r="Z79" i="36"/>
  <c r="U79" i="39" s="1"/>
  <c r="G79" i="39" s="1"/>
  <c r="AB79" i="39"/>
  <c r="AB104" i="36"/>
  <c r="W104" i="39" s="1"/>
  <c r="I104" i="39" s="1"/>
  <c r="AD104" i="39"/>
  <c r="AA59" i="36"/>
  <c r="V59" i="39" s="1"/>
  <c r="H59" i="39" s="1"/>
  <c r="AC59" i="39"/>
  <c r="AB19" i="36"/>
  <c r="W19" i="39" s="1"/>
  <c r="I19" i="39" s="1"/>
  <c r="AD19" i="39"/>
  <c r="AB16" i="36"/>
  <c r="W16" i="39" s="1"/>
  <c r="AD16" i="39"/>
  <c r="AR16" i="39" s="1"/>
  <c r="AB32" i="36"/>
  <c r="W32" i="39" s="1"/>
  <c r="AD32" i="39"/>
  <c r="AR32" i="39" s="1"/>
  <c r="AB48" i="36"/>
  <c r="W48" i="39" s="1"/>
  <c r="I48" i="39" s="1"/>
  <c r="AD48" i="39"/>
  <c r="Z63" i="36"/>
  <c r="U63" i="39" s="1"/>
  <c r="G63" i="39" s="1"/>
  <c r="AB63" i="39"/>
  <c r="AB80" i="36"/>
  <c r="W80" i="39" s="1"/>
  <c r="I80" i="39" s="1"/>
  <c r="AD80" i="39"/>
  <c r="AD93" i="36"/>
  <c r="Y93" i="39" s="1"/>
  <c r="AF93" i="39"/>
  <c r="AT93" i="39" s="1"/>
  <c r="AD105" i="36"/>
  <c r="Y105" i="39" s="1"/>
  <c r="K105" i="39" s="1"/>
  <c r="AF105" i="39"/>
  <c r="AC36" i="36"/>
  <c r="X36" i="39" s="1"/>
  <c r="J36" i="39" s="1"/>
  <c r="AE36" i="39"/>
  <c r="AC60" i="36"/>
  <c r="X60" i="39" s="1"/>
  <c r="J60" i="39" s="1"/>
  <c r="AE60" i="39"/>
  <c r="AC76" i="36"/>
  <c r="X76" i="39" s="1"/>
  <c r="J76" i="39" s="1"/>
  <c r="AE76" i="39"/>
  <c r="AC96" i="36"/>
  <c r="X96" i="39" s="1"/>
  <c r="J96" i="39" s="1"/>
  <c r="AE96" i="39"/>
  <c r="AD20" i="36"/>
  <c r="Y20" i="39" s="1"/>
  <c r="K20" i="39" s="1"/>
  <c r="AF20" i="39"/>
  <c r="AD32" i="36"/>
  <c r="Y32" i="39" s="1"/>
  <c r="AF32" i="39"/>
  <c r="AT32" i="39" s="1"/>
  <c r="AD48" i="36"/>
  <c r="Y48" i="39" s="1"/>
  <c r="AF48" i="39"/>
  <c r="AT48" i="39" s="1"/>
  <c r="Z62" i="36"/>
  <c r="U62" i="39" s="1"/>
  <c r="AB62" i="39"/>
  <c r="Z78" i="36"/>
  <c r="U78" i="39" s="1"/>
  <c r="G78" i="39" s="1"/>
  <c r="AB78" i="39"/>
  <c r="AD92" i="36"/>
  <c r="Y92" i="39" s="1"/>
  <c r="K92" i="39" s="1"/>
  <c r="AF92" i="39"/>
  <c r="AA26" i="36"/>
  <c r="V26" i="39" s="1"/>
  <c r="H26" i="39" s="1"/>
  <c r="AC26" i="39"/>
  <c r="Y37" i="36"/>
  <c r="T37" i="39" s="1"/>
  <c r="F37" i="39" s="1"/>
  <c r="AA37" i="39"/>
  <c r="AC47" i="36"/>
  <c r="X47" i="39" s="1"/>
  <c r="J47" i="39" s="1"/>
  <c r="AE47" i="39"/>
  <c r="AC59" i="36"/>
  <c r="X59" i="39" s="1"/>
  <c r="J59" i="39" s="1"/>
  <c r="AE59" i="39"/>
  <c r="AA74" i="36"/>
  <c r="V74" i="39" s="1"/>
  <c r="H74" i="39" s="1"/>
  <c r="AC74" i="39"/>
  <c r="AA86" i="36"/>
  <c r="V86" i="39" s="1"/>
  <c r="H86" i="39" s="1"/>
  <c r="AC86" i="39"/>
  <c r="AC99" i="36"/>
  <c r="X99" i="39" s="1"/>
  <c r="J99" i="39" s="1"/>
  <c r="AE99" i="39"/>
  <c r="AB22" i="36"/>
  <c r="W22" i="39" s="1"/>
  <c r="AD22" i="39"/>
  <c r="AR22" i="39" s="1"/>
  <c r="AB34" i="36"/>
  <c r="W34" i="39" s="1"/>
  <c r="AD34" i="39"/>
  <c r="AR34" i="39" s="1"/>
  <c r="Z49" i="36"/>
  <c r="U49" i="39" s="1"/>
  <c r="AB49" i="39"/>
  <c r="AP49" i="39" s="1"/>
  <c r="AB62" i="36"/>
  <c r="W62" i="39" s="1"/>
  <c r="I62" i="39" s="1"/>
  <c r="AD62" i="39"/>
  <c r="Z77" i="36"/>
  <c r="U77" i="39" s="1"/>
  <c r="G77" i="39" s="1"/>
  <c r="AB77" i="39"/>
  <c r="Z93" i="36"/>
  <c r="U93" i="39" s="1"/>
  <c r="AB93" i="39"/>
  <c r="AP93" i="39" s="1"/>
  <c r="Z105" i="36"/>
  <c r="U105" i="39" s="1"/>
  <c r="G105" i="39" s="1"/>
  <c r="AB105" i="39"/>
  <c r="AO28" i="39"/>
  <c r="Y40" i="36"/>
  <c r="T40" i="39" s="1"/>
  <c r="F40" i="39" s="1"/>
  <c r="AA40" i="39"/>
  <c r="Y52" i="36"/>
  <c r="T52" i="39" s="1"/>
  <c r="F52" i="39" s="1"/>
  <c r="AA52" i="39"/>
  <c r="AC62" i="36"/>
  <c r="X62" i="39" s="1"/>
  <c r="J62" i="39" s="1"/>
  <c r="AE62" i="39"/>
  <c r="AC74" i="36"/>
  <c r="X74" i="39" s="1"/>
  <c r="J74" i="39" s="1"/>
  <c r="AE74" i="39"/>
  <c r="AC86" i="36"/>
  <c r="X86" i="39" s="1"/>
  <c r="J86" i="39" s="1"/>
  <c r="AE86" i="39"/>
  <c r="AA97" i="36"/>
  <c r="V97" i="39" s="1"/>
  <c r="H97" i="39" s="1"/>
  <c r="AC97" i="39"/>
  <c r="Z36" i="36"/>
  <c r="U36" i="39" s="1"/>
  <c r="G36" i="39" s="1"/>
  <c r="AB36" i="39"/>
  <c r="Z68" i="36"/>
  <c r="U68" i="39" s="1"/>
  <c r="G68" i="39" s="1"/>
  <c r="AB68" i="39"/>
  <c r="AA105" i="36"/>
  <c r="V105" i="39" s="1"/>
  <c r="H105" i="39" s="1"/>
  <c r="AC105" i="39"/>
  <c r="AB65" i="36"/>
  <c r="W65" i="39" s="1"/>
  <c r="I65" i="39" s="1"/>
  <c r="AD65" i="39"/>
  <c r="AC37" i="36"/>
  <c r="X37" i="39" s="1"/>
  <c r="J37" i="39" s="1"/>
  <c r="AE37" i="39"/>
  <c r="AD34" i="36"/>
  <c r="Y34" i="39" s="1"/>
  <c r="AF34" i="39"/>
  <c r="AT34" i="39" s="1"/>
  <c r="AC101" i="36"/>
  <c r="X101" i="39" s="1"/>
  <c r="J101" i="39" s="1"/>
  <c r="AE101" i="39"/>
  <c r="AD58" i="36"/>
  <c r="Y58" i="39" s="1"/>
  <c r="K58" i="39" s="1"/>
  <c r="AF58" i="39"/>
  <c r="AO26" i="39"/>
  <c r="AO31" i="39"/>
  <c r="AA40" i="36"/>
  <c r="V40" i="39" s="1"/>
  <c r="AC40" i="39"/>
  <c r="AQ40" i="39" s="1"/>
  <c r="AA36" i="36"/>
  <c r="V36" i="39" s="1"/>
  <c r="H36" i="39" s="1"/>
  <c r="AC36" i="39"/>
  <c r="Y55" i="36"/>
  <c r="Q58" i="37" s="1"/>
  <c r="AA55" i="39"/>
  <c r="AO15" i="39"/>
  <c r="AV19" i="39"/>
  <c r="AO19" i="39"/>
  <c r="Y51" i="36"/>
  <c r="AA51" i="39"/>
  <c r="Y67" i="36"/>
  <c r="AA67" i="39"/>
  <c r="Z99" i="36"/>
  <c r="U99" i="39" s="1"/>
  <c r="G99" i="39" s="1"/>
  <c r="AB99" i="39"/>
  <c r="Z54" i="36"/>
  <c r="U54" i="39" s="1"/>
  <c r="G54" i="39" s="1"/>
  <c r="AB54" i="39"/>
  <c r="AC67" i="36"/>
  <c r="X67" i="39" s="1"/>
  <c r="J67" i="39" s="1"/>
  <c r="AE67" i="39"/>
  <c r="AC22" i="36"/>
  <c r="X22" i="39" s="1"/>
  <c r="J22" i="39" s="1"/>
  <c r="AE22" i="39"/>
  <c r="AC89" i="36"/>
  <c r="X89" i="39" s="1"/>
  <c r="J89" i="39" s="1"/>
  <c r="AE89" i="39"/>
  <c r="Z27" i="36"/>
  <c r="U27" i="39" s="1"/>
  <c r="G27" i="39" s="1"/>
  <c r="AB27" i="39"/>
  <c r="AA27" i="36"/>
  <c r="V27" i="39" s="1"/>
  <c r="H27" i="39" s="1"/>
  <c r="AC27" i="39"/>
  <c r="AB43" i="36"/>
  <c r="W43" i="39" s="1"/>
  <c r="I43" i="39" s="1"/>
  <c r="AD43" i="39"/>
  <c r="AC43" i="36"/>
  <c r="X43" i="39" s="1"/>
  <c r="J43" i="39" s="1"/>
  <c r="AE43" i="39"/>
  <c r="AB30" i="36"/>
  <c r="W30" i="39" s="1"/>
  <c r="I30" i="39" s="1"/>
  <c r="AD30" i="39"/>
  <c r="Y48" i="36"/>
  <c r="T48" i="39" s="1"/>
  <c r="F48" i="39" s="1"/>
  <c r="AA48" i="39"/>
  <c r="AD42" i="36"/>
  <c r="Y42" i="39" s="1"/>
  <c r="K42" i="39" s="1"/>
  <c r="AF42" i="39"/>
  <c r="Z35" i="36"/>
  <c r="U35" i="39" s="1"/>
  <c r="G35" i="39" s="1"/>
  <c r="AB35" i="39"/>
  <c r="Z95" i="36"/>
  <c r="U95" i="39" s="1"/>
  <c r="G95" i="39" s="1"/>
  <c r="AB95" i="39"/>
  <c r="AA79" i="36"/>
  <c r="V79" i="39" s="1"/>
  <c r="H79" i="39" s="1"/>
  <c r="AC79" i="39"/>
  <c r="AD36" i="36"/>
  <c r="Y36" i="39" s="1"/>
  <c r="K36" i="39" s="1"/>
  <c r="AF36" i="39"/>
  <c r="AB63" i="36"/>
  <c r="W63" i="39" s="1"/>
  <c r="AD63" i="39"/>
  <c r="AR63" i="39" s="1"/>
  <c r="Z94" i="36"/>
  <c r="U94" i="39" s="1"/>
  <c r="G94" i="39" s="1"/>
  <c r="AB94" i="39"/>
  <c r="AA14" i="36"/>
  <c r="V14" i="39" s="1"/>
  <c r="H14" i="39" s="1"/>
  <c r="AC14" i="39"/>
  <c r="AC27" i="36"/>
  <c r="X27" i="39" s="1"/>
  <c r="J27" i="39" s="1"/>
  <c r="AE27" i="39"/>
  <c r="AA38" i="36"/>
  <c r="V38" i="39" s="1"/>
  <c r="H38" i="39" s="1"/>
  <c r="AC38" i="39"/>
  <c r="Y61" i="36"/>
  <c r="T61" i="39" s="1"/>
  <c r="F61" i="39" s="1"/>
  <c r="AA61" i="39"/>
  <c r="AC75" i="36"/>
  <c r="X75" i="39" s="1"/>
  <c r="J75" i="39" s="1"/>
  <c r="AE75" i="39"/>
  <c r="AC87" i="36"/>
  <c r="X87" i="39" s="1"/>
  <c r="J87" i="39" s="1"/>
  <c r="AE87" i="39"/>
  <c r="Y101" i="36"/>
  <c r="T101" i="39" s="1"/>
  <c r="F101" i="39" s="1"/>
  <c r="AA101" i="39"/>
  <c r="AD23" i="36"/>
  <c r="Y23" i="39" s="1"/>
  <c r="K23" i="39" s="1"/>
  <c r="AF23" i="39"/>
  <c r="Z37" i="36"/>
  <c r="U37" i="39" s="1"/>
  <c r="G37" i="39" s="1"/>
  <c r="AB37" i="39"/>
  <c r="AD51" i="36"/>
  <c r="Y51" i="39" s="1"/>
  <c r="K51" i="39" s="1"/>
  <c r="AF51" i="39"/>
  <c r="AD63" i="36"/>
  <c r="Y63" i="39" s="1"/>
  <c r="AF63" i="39"/>
  <c r="AT63" i="39" s="1"/>
  <c r="AD79" i="36"/>
  <c r="Y79" i="39" s="1"/>
  <c r="K79" i="39" s="1"/>
  <c r="AF79" i="39"/>
  <c r="AB94" i="36"/>
  <c r="W94" i="39" s="1"/>
  <c r="I94" i="39" s="1"/>
  <c r="AD94" i="39"/>
  <c r="AO16" i="39"/>
  <c r="AA29" i="36"/>
  <c r="V29" i="39" s="1"/>
  <c r="AC29" i="39"/>
  <c r="AQ29" i="39" s="1"/>
  <c r="AA41" i="36"/>
  <c r="V41" i="39" s="1"/>
  <c r="AC41" i="39"/>
  <c r="AQ41" i="39" s="1"/>
  <c r="AA53" i="36"/>
  <c r="V53" i="39" s="1"/>
  <c r="H53" i="39" s="1"/>
  <c r="AC53" i="39"/>
  <c r="Y64" i="36"/>
  <c r="T64" i="39" s="1"/>
  <c r="F64" i="39" s="1"/>
  <c r="AA64" i="39"/>
  <c r="Y76" i="36"/>
  <c r="T76" i="39" s="1"/>
  <c r="F76" i="39" s="1"/>
  <c r="AA76" i="39"/>
  <c r="Y88" i="36"/>
  <c r="T88" i="39" s="1"/>
  <c r="F88" i="39" s="1"/>
  <c r="AA88" i="39"/>
  <c r="AC98" i="36"/>
  <c r="X98" i="39" s="1"/>
  <c r="J98" i="39" s="1"/>
  <c r="AE98" i="39"/>
  <c r="Z40" i="36"/>
  <c r="U40" i="39" s="1"/>
  <c r="G40" i="39" s="1"/>
  <c r="AB40" i="39"/>
  <c r="AA88" i="36"/>
  <c r="V88" i="39" s="1"/>
  <c r="H88" i="39" s="1"/>
  <c r="AC88" i="39"/>
  <c r="AA68" i="36"/>
  <c r="V68" i="39" s="1"/>
  <c r="H68" i="39" s="1"/>
  <c r="AC68" i="39"/>
  <c r="AB45" i="36"/>
  <c r="W45" i="39" s="1"/>
  <c r="I45" i="39" s="1"/>
  <c r="AD45" i="39"/>
  <c r="AB101" i="36"/>
  <c r="W101" i="39" s="1"/>
  <c r="I101" i="39" s="1"/>
  <c r="AD101" i="39"/>
  <c r="AC65" i="36"/>
  <c r="X65" i="39" s="1"/>
  <c r="J65" i="39" s="1"/>
  <c r="AE65" i="39"/>
  <c r="AC33" i="36"/>
  <c r="X33" i="39" s="1"/>
  <c r="J33" i="39" s="1"/>
  <c r="AE33" i="39"/>
  <c r="AO34" i="39"/>
  <c r="Y94" i="36"/>
  <c r="T94" i="39" s="1"/>
  <c r="F94" i="39" s="1"/>
  <c r="AA94" i="39"/>
  <c r="Y58" i="36"/>
  <c r="T58" i="39" s="1"/>
  <c r="F58" i="39" s="1"/>
  <c r="AA58" i="39"/>
  <c r="AO22" i="39"/>
  <c r="AD38" i="36"/>
  <c r="Y38" i="39" s="1"/>
  <c r="K38" i="39" s="1"/>
  <c r="AF38" i="39"/>
  <c r="AA24" i="36"/>
  <c r="V24" i="39" s="1"/>
  <c r="H24" i="39" s="1"/>
  <c r="AC24" i="39"/>
  <c r="AC49" i="36"/>
  <c r="AE49" i="39"/>
  <c r="Y71" i="36"/>
  <c r="Q74" i="37" s="1"/>
  <c r="AA71" i="39"/>
  <c r="AD15" i="36"/>
  <c r="Y15" i="39" s="1"/>
  <c r="K15" i="39" s="1"/>
  <c r="AF15" i="39"/>
  <c r="AA13" i="36"/>
  <c r="V13" i="39" s="1"/>
  <c r="H13" i="39" s="1"/>
  <c r="AC13" i="39"/>
  <c r="AO14" i="39"/>
  <c r="AA20" i="36"/>
  <c r="V20" i="39" s="1"/>
  <c r="H20" i="39" s="1"/>
  <c r="AC20" i="39"/>
  <c r="AC85" i="36"/>
  <c r="X85" i="39" s="1"/>
  <c r="J85" i="39" s="1"/>
  <c r="AE85" i="39"/>
  <c r="AB18" i="36"/>
  <c r="W18" i="39" s="1"/>
  <c r="AD18" i="39"/>
  <c r="AR18" i="39" s="1"/>
  <c r="AD30" i="36"/>
  <c r="Y30" i="39" s="1"/>
  <c r="AF30" i="39"/>
  <c r="AT30" i="39" s="1"/>
  <c r="AD46" i="36"/>
  <c r="Y46" i="39" s="1"/>
  <c r="K46" i="39" s="1"/>
  <c r="AF46" i="39"/>
  <c r="AB50" i="36"/>
  <c r="W50" i="39" s="1"/>
  <c r="I50" i="39" s="1"/>
  <c r="AD50" i="39"/>
  <c r="Z58" i="36"/>
  <c r="U58" i="39" s="1"/>
  <c r="G58" i="39" s="1"/>
  <c r="AB58" i="39"/>
  <c r="Y62" i="36"/>
  <c r="T62" i="39" s="1"/>
  <c r="F62" i="39" s="1"/>
  <c r="AA62" i="39"/>
  <c r="AB66" i="36"/>
  <c r="W66" i="39" s="1"/>
  <c r="I66" i="39" s="1"/>
  <c r="AD66" i="39"/>
  <c r="Z74" i="36"/>
  <c r="U74" i="39" s="1"/>
  <c r="G74" i="39" s="1"/>
  <c r="AB74" i="39"/>
  <c r="Y78" i="36"/>
  <c r="T78" i="39" s="1"/>
  <c r="F78" i="39" s="1"/>
  <c r="AA78" i="39"/>
  <c r="AB82" i="36"/>
  <c r="W82" i="39" s="1"/>
  <c r="AD82" i="39"/>
  <c r="AD94" i="36"/>
  <c r="Y94" i="39" s="1"/>
  <c r="K94" i="39" s="1"/>
  <c r="AF94" i="39"/>
  <c r="AA98" i="36"/>
  <c r="V98" i="39" s="1"/>
  <c r="H98" i="39" s="1"/>
  <c r="AC98" i="39"/>
  <c r="AD25" i="36"/>
  <c r="Y25" i="39" s="1"/>
  <c r="K25" i="39" s="1"/>
  <c r="AF25" i="39"/>
  <c r="AC68" i="36"/>
  <c r="X68" i="39" s="1"/>
  <c r="J68" i="39" s="1"/>
  <c r="AE68" i="39"/>
  <c r="AD100" i="36"/>
  <c r="Y100" i="39" s="1"/>
  <c r="K100" i="39" s="1"/>
  <c r="AF100" i="39"/>
  <c r="AB42" i="36"/>
  <c r="W42" i="39" s="1"/>
  <c r="I42" i="39" s="1"/>
  <c r="AD42" i="39"/>
  <c r="AA33" i="36"/>
  <c r="V33" i="39" s="1"/>
  <c r="AC33" i="39"/>
  <c r="AQ33" i="39" s="1"/>
  <c r="AC17" i="36"/>
  <c r="X17" i="39" s="1"/>
  <c r="J17" i="39" s="1"/>
  <c r="AE17" i="39"/>
  <c r="Z75" i="36"/>
  <c r="U75" i="39" s="1"/>
  <c r="G75" i="39" s="1"/>
  <c r="AB75" i="39"/>
  <c r="AD28" i="36"/>
  <c r="Y28" i="39" s="1"/>
  <c r="AF28" i="39"/>
  <c r="AT28" i="39" s="1"/>
  <c r="AA22" i="36"/>
  <c r="V22" i="39" s="1"/>
  <c r="H22" i="39" s="1"/>
  <c r="AC22" i="39"/>
  <c r="Y93" i="36"/>
  <c r="T93" i="39" s="1"/>
  <c r="F93" i="39" s="1"/>
  <c r="AA93" i="39"/>
  <c r="AD71" i="36"/>
  <c r="Y71" i="39" s="1"/>
  <c r="K71" i="39" s="1"/>
  <c r="AF71" i="39"/>
  <c r="AA81" i="36"/>
  <c r="V81" i="39" s="1"/>
  <c r="H81" i="39" s="1"/>
  <c r="AC81" i="39"/>
  <c r="AB33" i="36"/>
  <c r="W33" i="39" s="1"/>
  <c r="AD33" i="39"/>
  <c r="AR33" i="39" s="1"/>
  <c r="AB20" i="36"/>
  <c r="W20" i="39" s="1"/>
  <c r="AD20" i="39"/>
  <c r="AR20" i="39" s="1"/>
  <c r="AD81" i="36"/>
  <c r="Y81" i="39" s="1"/>
  <c r="K81" i="39" s="1"/>
  <c r="AF81" i="39"/>
  <c r="AC40" i="36"/>
  <c r="X40" i="39" s="1"/>
  <c r="J40" i="39" s="1"/>
  <c r="AE40" i="39"/>
  <c r="AC100" i="36"/>
  <c r="X100" i="39" s="1"/>
  <c r="J100" i="39" s="1"/>
  <c r="AE100" i="39"/>
  <c r="Z22" i="36"/>
  <c r="U22" i="39" s="1"/>
  <c r="G22" i="39" s="1"/>
  <c r="AB22" i="39"/>
  <c r="Z50" i="36"/>
  <c r="U50" i="39" s="1"/>
  <c r="G50" i="39" s="1"/>
  <c r="AB50" i="39"/>
  <c r="AB79" i="36"/>
  <c r="W79" i="39" s="1"/>
  <c r="I79" i="39" s="1"/>
  <c r="AD79" i="39"/>
  <c r="Y49" i="36"/>
  <c r="T49" i="39" s="1"/>
  <c r="F49" i="39" s="1"/>
  <c r="AA49" i="39"/>
  <c r="AD21" i="36"/>
  <c r="Y21" i="39" s="1"/>
  <c r="K21" i="39" s="1"/>
  <c r="AF21" i="39"/>
  <c r="AB36" i="36"/>
  <c r="W36" i="39" s="1"/>
  <c r="I36" i="39" s="1"/>
  <c r="AD36" i="39"/>
  <c r="AD53" i="36"/>
  <c r="Y53" i="39" s="1"/>
  <c r="K53" i="39" s="1"/>
  <c r="AF53" i="39"/>
  <c r="AB68" i="36"/>
  <c r="W68" i="39" s="1"/>
  <c r="I68" i="39" s="1"/>
  <c r="AD68" i="39"/>
  <c r="AB84" i="36"/>
  <c r="W84" i="39" s="1"/>
  <c r="AD84" i="39"/>
  <c r="AR84" i="39" s="1"/>
  <c r="AB96" i="36"/>
  <c r="W96" i="39" s="1"/>
  <c r="I96" i="39" s="1"/>
  <c r="AD96" i="39"/>
  <c r="AA19" i="36"/>
  <c r="V19" i="39" s="1"/>
  <c r="AC19" i="39"/>
  <c r="AQ19" i="39" s="1"/>
  <c r="AA43" i="36"/>
  <c r="V43" i="39" s="1"/>
  <c r="AC43" i="39"/>
  <c r="AQ43" i="39" s="1"/>
  <c r="AC64" i="36"/>
  <c r="X64" i="39" s="1"/>
  <c r="J64" i="39" s="1"/>
  <c r="AE64" i="39"/>
  <c r="AA83" i="36"/>
  <c r="V83" i="39" s="1"/>
  <c r="H83" i="39" s="1"/>
  <c r="AC83" i="39"/>
  <c r="AC104" i="36"/>
  <c r="X104" i="39" s="1"/>
  <c r="J104" i="39" s="1"/>
  <c r="AE104" i="39"/>
  <c r="AD24" i="36"/>
  <c r="Y24" i="39" s="1"/>
  <c r="K24" i="39" s="1"/>
  <c r="AF24" i="39"/>
  <c r="AB39" i="36"/>
  <c r="W39" i="39" s="1"/>
  <c r="I39" i="39" s="1"/>
  <c r="AD39" i="39"/>
  <c r="AD64" i="36"/>
  <c r="Y64" i="39" s="1"/>
  <c r="K64" i="39" s="1"/>
  <c r="AF64" i="39"/>
  <c r="Z82" i="36"/>
  <c r="U82" i="39" s="1"/>
  <c r="G82" i="39" s="1"/>
  <c r="AB82" i="39"/>
  <c r="AB95" i="36"/>
  <c r="W95" i="39" s="1"/>
  <c r="I95" i="39" s="1"/>
  <c r="AD95" i="39"/>
  <c r="AO17" i="39"/>
  <c r="AO29" i="39"/>
  <c r="AC39" i="36"/>
  <c r="X39" i="39" s="1"/>
  <c r="J39" i="39" s="1"/>
  <c r="AE39" i="39"/>
  <c r="AA50" i="36"/>
  <c r="V50" i="39" s="1"/>
  <c r="AC50" i="39"/>
  <c r="AQ50" i="39" s="1"/>
  <c r="AC63" i="36"/>
  <c r="X63" i="39" s="1"/>
  <c r="AE63" i="39"/>
  <c r="AS63" i="39" s="1"/>
  <c r="Y77" i="36"/>
  <c r="T77" i="39" s="1"/>
  <c r="F77" i="39" s="1"/>
  <c r="AA77" i="39"/>
  <c r="Y89" i="36"/>
  <c r="T89" i="39" s="1"/>
  <c r="F89" i="39" s="1"/>
  <c r="AA89" i="39"/>
  <c r="AA102" i="36"/>
  <c r="V102" i="39" s="1"/>
  <c r="H102" i="39" s="1"/>
  <c r="AC102" i="39"/>
  <c r="AB26" i="36"/>
  <c r="W26" i="39" s="1"/>
  <c r="AD26" i="39"/>
  <c r="AR26" i="39" s="1"/>
  <c r="AB38" i="36"/>
  <c r="W38" i="39" s="1"/>
  <c r="I38" i="39" s="1"/>
  <c r="AD38" i="39"/>
  <c r="Z53" i="36"/>
  <c r="U53" i="39" s="1"/>
  <c r="G53" i="39" s="1"/>
  <c r="AB53" i="39"/>
  <c r="Z65" i="36"/>
  <c r="U65" i="39" s="1"/>
  <c r="AB65" i="39"/>
  <c r="AP65" i="39" s="1"/>
  <c r="Z81" i="36"/>
  <c r="U81" i="39" s="1"/>
  <c r="G81" i="39" s="1"/>
  <c r="AB81" i="39"/>
  <c r="AD95" i="36"/>
  <c r="Y95" i="39" s="1"/>
  <c r="AF95" i="39"/>
  <c r="AA17" i="36"/>
  <c r="V17" i="39" s="1"/>
  <c r="AC17" i="39"/>
  <c r="AQ17" i="39" s="1"/>
  <c r="AC30" i="36"/>
  <c r="X30" i="39" s="1"/>
  <c r="J30" i="39" s="1"/>
  <c r="AE30" i="39"/>
  <c r="Y44" i="36"/>
  <c r="T44" i="39" s="1"/>
  <c r="F44" i="39" s="1"/>
  <c r="AA44" i="39"/>
  <c r="AC54" i="36"/>
  <c r="X54" i="39" s="1"/>
  <c r="J54" i="39" s="1"/>
  <c r="AE54" i="39"/>
  <c r="AA65" i="36"/>
  <c r="V65" i="39" s="1"/>
  <c r="H65" i="39" s="1"/>
  <c r="AC65" i="39"/>
  <c r="AA77" i="36"/>
  <c r="V77" i="39" s="1"/>
  <c r="H77" i="39" s="1"/>
  <c r="AC77" i="39"/>
  <c r="AA89" i="36"/>
  <c r="V89" i="39" s="1"/>
  <c r="H89" i="39" s="1"/>
  <c r="AC89" i="39"/>
  <c r="AC102" i="36"/>
  <c r="X102" i="39" s="1"/>
  <c r="J102" i="39" s="1"/>
  <c r="AE102" i="39"/>
  <c r="AD70" i="36"/>
  <c r="Y70" i="39" s="1"/>
  <c r="K70" i="39" s="1"/>
  <c r="AF70" i="39"/>
  <c r="Z84" i="36"/>
  <c r="U84" i="39" s="1"/>
  <c r="G84" i="39" s="1"/>
  <c r="AB84" i="39"/>
  <c r="Z64" i="36"/>
  <c r="U64" i="39" s="1"/>
  <c r="G64" i="39" s="1"/>
  <c r="AB64" i="39"/>
  <c r="Z72" i="36"/>
  <c r="U72" i="39" s="1"/>
  <c r="G72" i="39" s="1"/>
  <c r="AB72" i="39"/>
  <c r="AB57" i="36"/>
  <c r="W57" i="39" s="1"/>
  <c r="I57" i="39" s="1"/>
  <c r="AD57" i="39"/>
  <c r="AB29" i="36"/>
  <c r="W29" i="39" s="1"/>
  <c r="I29" i="39" s="1"/>
  <c r="AD29" i="39"/>
  <c r="AO30" i="39"/>
  <c r="AD90" i="36"/>
  <c r="Y90" i="39" s="1"/>
  <c r="K90" i="39" s="1"/>
  <c r="AF90" i="39"/>
  <c r="AD54" i="36"/>
  <c r="Y54" i="39" s="1"/>
  <c r="AF54" i="39"/>
  <c r="AT54" i="39" s="1"/>
  <c r="AB25" i="36"/>
  <c r="W25" i="39" s="1"/>
  <c r="I25" i="39" s="1"/>
  <c r="AD25" i="39"/>
  <c r="AD66" i="36"/>
  <c r="Y66" i="39" s="1"/>
  <c r="K66" i="39" s="1"/>
  <c r="AF66" i="39"/>
  <c r="Z104" i="36"/>
  <c r="U104" i="39" s="1"/>
  <c r="G104" i="39" s="1"/>
  <c r="AB104" i="39"/>
  <c r="Z13" i="36"/>
  <c r="U13" i="39" s="1"/>
  <c r="G13" i="39" s="1"/>
  <c r="AB13" i="39"/>
  <c r="AC14" i="36"/>
  <c r="X14" i="39" s="1"/>
  <c r="J14" i="39" s="1"/>
  <c r="AE14" i="39"/>
  <c r="Y47" i="36"/>
  <c r="Q50" i="37" s="1"/>
  <c r="AA47" i="39"/>
  <c r="Y63" i="36"/>
  <c r="Q66" i="37" s="1"/>
  <c r="AA63" i="39"/>
  <c r="Y79" i="36"/>
  <c r="Q82" i="37" s="1"/>
  <c r="AA79" i="39"/>
  <c r="AO79" i="39" s="1"/>
  <c r="AA103" i="36"/>
  <c r="V103" i="39" s="1"/>
  <c r="H103" i="39" s="1"/>
  <c r="AC103" i="39"/>
  <c r="AB88" i="36"/>
  <c r="W88" i="39" s="1"/>
  <c r="I88" i="39" s="1"/>
  <c r="AD88" i="39"/>
  <c r="AA87" i="36"/>
  <c r="V87" i="39" s="1"/>
  <c r="H87" i="39" s="1"/>
  <c r="AC87" i="39"/>
  <c r="Z70" i="36"/>
  <c r="U70" i="39" s="1"/>
  <c r="G70" i="39" s="1"/>
  <c r="AB70" i="39"/>
  <c r="AA54" i="36"/>
  <c r="V54" i="39" s="1"/>
  <c r="H54" i="39" s="1"/>
  <c r="AC54" i="39"/>
  <c r="AD55" i="36"/>
  <c r="Y55" i="39" s="1"/>
  <c r="AF55" i="39"/>
  <c r="AT55" i="39" s="1"/>
  <c r="AA57" i="36"/>
  <c r="V57" i="39" s="1"/>
  <c r="H57" i="39" s="1"/>
  <c r="AC57" i="39"/>
  <c r="Z52" i="36"/>
  <c r="U52" i="39" s="1"/>
  <c r="G52" i="39" s="1"/>
  <c r="AB52" i="39"/>
  <c r="AB100" i="36"/>
  <c r="W100" i="39" s="1"/>
  <c r="I100" i="39" s="1"/>
  <c r="AD100" i="39"/>
  <c r="AD16" i="36"/>
  <c r="Y16" i="39" s="1"/>
  <c r="AF16" i="39"/>
  <c r="Z102" i="36"/>
  <c r="U102" i="39" s="1"/>
  <c r="G102" i="39" s="1"/>
  <c r="AB102" i="39"/>
  <c r="Y81" i="36"/>
  <c r="T81" i="39" s="1"/>
  <c r="F81" i="39" s="1"/>
  <c r="AA81" i="39"/>
  <c r="Z101" i="36"/>
  <c r="U101" i="39" s="1"/>
  <c r="G101" i="39" s="1"/>
  <c r="AB101" i="39"/>
  <c r="AB73" i="36"/>
  <c r="W73" i="39" s="1"/>
  <c r="I73" i="39" s="1"/>
  <c r="AD73" i="39"/>
  <c r="Z15" i="36"/>
  <c r="U15" i="39" s="1"/>
  <c r="G15" i="39" s="1"/>
  <c r="AB15" i="39"/>
  <c r="AB60" i="36"/>
  <c r="W60" i="39" s="1"/>
  <c r="I60" i="39" s="1"/>
  <c r="AD60" i="39"/>
  <c r="AB52" i="36"/>
  <c r="W52" i="39" s="1"/>
  <c r="I52" i="39" s="1"/>
  <c r="AD52" i="39"/>
  <c r="Z67" i="36"/>
  <c r="U67" i="39" s="1"/>
  <c r="G67" i="39" s="1"/>
  <c r="AB67" i="39"/>
  <c r="AC16" i="36"/>
  <c r="X16" i="39" s="1"/>
  <c r="J16" i="39" s="1"/>
  <c r="AE16" i="39"/>
  <c r="AA63" i="36"/>
  <c r="V63" i="39" s="1"/>
  <c r="H63" i="39" s="1"/>
  <c r="AC63" i="39"/>
  <c r="AB24" i="36"/>
  <c r="W24" i="39" s="1"/>
  <c r="AD24" i="39"/>
  <c r="AR24" i="39" s="1"/>
  <c r="Z39" i="36"/>
  <c r="U39" i="39" s="1"/>
  <c r="G39" i="39" s="1"/>
  <c r="AB39" i="39"/>
  <c r="Z55" i="36"/>
  <c r="U55" i="39" s="1"/>
  <c r="G55" i="39" s="1"/>
  <c r="AB55" i="39"/>
  <c r="AD69" i="36"/>
  <c r="Y69" i="39" s="1"/>
  <c r="K69" i="39" s="1"/>
  <c r="AF69" i="39"/>
  <c r="AD85" i="36"/>
  <c r="Y85" i="39" s="1"/>
  <c r="K85" i="39" s="1"/>
  <c r="AF85" i="39"/>
  <c r="AD97" i="36"/>
  <c r="Y97" i="39" s="1"/>
  <c r="K97" i="39" s="1"/>
  <c r="AF97" i="39"/>
  <c r="AC20" i="36"/>
  <c r="X20" i="39" s="1"/>
  <c r="J20" i="39" s="1"/>
  <c r="AE20" i="39"/>
  <c r="AA47" i="36"/>
  <c r="V47" i="39" s="1"/>
  <c r="AC47" i="39"/>
  <c r="AQ47" i="39" s="1"/>
  <c r="AA67" i="36"/>
  <c r="V67" i="39" s="1"/>
  <c r="H67" i="39" s="1"/>
  <c r="AC67" i="39"/>
  <c r="AC84" i="36"/>
  <c r="X84" i="39" s="1"/>
  <c r="J84" i="39" s="1"/>
  <c r="AE84" i="39"/>
  <c r="Z28" i="36"/>
  <c r="U28" i="39" s="1"/>
  <c r="G28" i="39" s="1"/>
  <c r="AB28" i="39"/>
  <c r="Z26" i="36"/>
  <c r="U26" i="39" s="1"/>
  <c r="G26" i="39" s="1"/>
  <c r="AB26" i="39"/>
  <c r="AD40" i="36"/>
  <c r="Y40" i="39" s="1"/>
  <c r="K40" i="39" s="1"/>
  <c r="AF40" i="39"/>
  <c r="AD52" i="36"/>
  <c r="Y52" i="39" s="1"/>
  <c r="K52" i="39" s="1"/>
  <c r="AF52" i="39"/>
  <c r="AD68" i="36"/>
  <c r="Y68" i="39" s="1"/>
  <c r="K68" i="39" s="1"/>
  <c r="AF68" i="39"/>
  <c r="AD84" i="36"/>
  <c r="Y84" i="39" s="1"/>
  <c r="K84" i="39" s="1"/>
  <c r="AF84" i="39"/>
  <c r="AD96" i="36"/>
  <c r="Y96" i="39" s="1"/>
  <c r="K96" i="39" s="1"/>
  <c r="AF96" i="39"/>
  <c r="AA18" i="36"/>
  <c r="V18" i="39" s="1"/>
  <c r="H18" i="39" s="1"/>
  <c r="AC18" i="39"/>
  <c r="AA30" i="36"/>
  <c r="V30" i="39" s="1"/>
  <c r="AC30" i="39"/>
  <c r="AQ30" i="39" s="1"/>
  <c r="Y41" i="36"/>
  <c r="T41" i="39" s="1"/>
  <c r="F41" i="39" s="1"/>
  <c r="AA41" i="39"/>
  <c r="Y53" i="36"/>
  <c r="T53" i="39" s="1"/>
  <c r="F53" i="39" s="1"/>
  <c r="AA53" i="39"/>
  <c r="AA66" i="36"/>
  <c r="V66" i="39" s="1"/>
  <c r="H66" i="39" s="1"/>
  <c r="AC66" i="39"/>
  <c r="AA78" i="36"/>
  <c r="V78" i="39" s="1"/>
  <c r="H78" i="39" s="1"/>
  <c r="AC78" i="39"/>
  <c r="AA90" i="36"/>
  <c r="V90" i="39" s="1"/>
  <c r="H90" i="39" s="1"/>
  <c r="AC90" i="39"/>
  <c r="AC103" i="36"/>
  <c r="X103" i="39" s="1"/>
  <c r="J103" i="39" s="1"/>
  <c r="AE103" i="39"/>
  <c r="AD39" i="36"/>
  <c r="Y39" i="39" s="1"/>
  <c r="K39" i="39" s="1"/>
  <c r="AF39" i="39"/>
  <c r="AB54" i="36"/>
  <c r="W54" i="39" s="1"/>
  <c r="I54" i="39" s="1"/>
  <c r="AD54" i="39"/>
  <c r="Z69" i="36"/>
  <c r="U69" i="39" s="1"/>
  <c r="G69" i="39" s="1"/>
  <c r="AB69" i="39"/>
  <c r="AD83" i="36"/>
  <c r="Y83" i="39" s="1"/>
  <c r="K83" i="39" s="1"/>
  <c r="AF83" i="39"/>
  <c r="Z97" i="36"/>
  <c r="U97" i="39" s="1"/>
  <c r="G97" i="39" s="1"/>
  <c r="AB97" i="39"/>
  <c r="AC18" i="36"/>
  <c r="X18" i="39" s="1"/>
  <c r="J18" i="39" s="1"/>
  <c r="AE18" i="39"/>
  <c r="AA45" i="36"/>
  <c r="V45" i="39" s="1"/>
  <c r="H45" i="39" s="1"/>
  <c r="AC45" i="39"/>
  <c r="Y56" i="36"/>
  <c r="T56" i="39" s="1"/>
  <c r="F56" i="39" s="1"/>
  <c r="AA56" i="39"/>
  <c r="AC66" i="36"/>
  <c r="X66" i="39" s="1"/>
  <c r="J66" i="39" s="1"/>
  <c r="AE66" i="39"/>
  <c r="AC78" i="36"/>
  <c r="X78" i="39" s="1"/>
  <c r="J78" i="39" s="1"/>
  <c r="AE78" i="39"/>
  <c r="AC90" i="36"/>
  <c r="X90" i="39" s="1"/>
  <c r="J90" i="39" s="1"/>
  <c r="AE90" i="39"/>
  <c r="Y104" i="36"/>
  <c r="T104" i="39" s="1"/>
  <c r="F104" i="39" s="1"/>
  <c r="AA104" i="39"/>
  <c r="Z92" i="36"/>
  <c r="U92" i="39" s="1"/>
  <c r="G92" i="39" s="1"/>
  <c r="AB92" i="39"/>
  <c r="AA84" i="36"/>
  <c r="V84" i="39" s="1"/>
  <c r="H84" i="39" s="1"/>
  <c r="AC84" i="39"/>
  <c r="AB93" i="36"/>
  <c r="W93" i="39" s="1"/>
  <c r="I93" i="39" s="1"/>
  <c r="AD93" i="39"/>
  <c r="AB89" i="36"/>
  <c r="W89" i="39" s="1"/>
  <c r="I89" i="39" s="1"/>
  <c r="AD89" i="39"/>
  <c r="AC57" i="36"/>
  <c r="X57" i="39" s="1"/>
  <c r="J57" i="39" s="1"/>
  <c r="AE57" i="39"/>
  <c r="AC29" i="36"/>
  <c r="X29" i="39" s="1"/>
  <c r="J29" i="39" s="1"/>
  <c r="AE29" i="39"/>
  <c r="AO35" i="39"/>
  <c r="Y90" i="36"/>
  <c r="T90" i="39" s="1"/>
  <c r="F90" i="39" s="1"/>
  <c r="AA90" i="39"/>
  <c r="Y54" i="36"/>
  <c r="T54" i="39" s="1"/>
  <c r="F54" i="39" s="1"/>
  <c r="AA54" i="39"/>
  <c r="AD18" i="36"/>
  <c r="Y18" i="39" s="1"/>
  <c r="AF18" i="39"/>
  <c r="Z88" i="36"/>
  <c r="U88" i="39" s="1"/>
  <c r="G88" i="39" s="1"/>
  <c r="AB88" i="39"/>
  <c r="Y102" i="36"/>
  <c r="T102" i="39" s="1"/>
  <c r="F102" i="39" s="1"/>
  <c r="AA102" i="39"/>
  <c r="Y82" i="36"/>
  <c r="J85" i="37" s="1"/>
  <c r="AA82" i="39"/>
  <c r="Y50" i="36"/>
  <c r="AA50" i="39"/>
  <c r="Y83" i="36"/>
  <c r="J86" i="37" s="1"/>
  <c r="AA83" i="39"/>
  <c r="AD14" i="36"/>
  <c r="Y14" i="39" s="1"/>
  <c r="K14" i="39" s="1"/>
  <c r="AF14" i="39"/>
  <c r="Y91" i="36"/>
  <c r="Q94" i="37" s="1"/>
  <c r="AA91" i="39"/>
  <c r="AA16" i="36"/>
  <c r="V16" i="39" s="1"/>
  <c r="H16" i="39" s="1"/>
  <c r="AC16" i="39"/>
  <c r="AO20" i="39"/>
  <c r="AC28" i="36"/>
  <c r="X28" i="39" s="1"/>
  <c r="J28" i="39" s="1"/>
  <c r="AE28" i="39"/>
  <c r="AA32" i="36"/>
  <c r="V32" i="39" s="1"/>
  <c r="AC32" i="39"/>
  <c r="AQ32" i="39" s="1"/>
  <c r="Y36" i="36"/>
  <c r="T36" i="39" s="1"/>
  <c r="F36" i="39" s="1"/>
  <c r="AA36" i="39"/>
  <c r="AC44" i="36"/>
  <c r="X44" i="39" s="1"/>
  <c r="J44" i="39" s="1"/>
  <c r="AE44" i="39"/>
  <c r="AA48" i="36"/>
  <c r="V48" i="39" s="1"/>
  <c r="AC48" i="39"/>
  <c r="AQ48" i="39" s="1"/>
  <c r="Z60" i="36"/>
  <c r="U60" i="39" s="1"/>
  <c r="G60" i="39" s="1"/>
  <c r="AB60" i="39"/>
  <c r="AB64" i="36"/>
  <c r="W64" i="39" s="1"/>
  <c r="I64" i="39" s="1"/>
  <c r="AD64" i="39"/>
  <c r="Y68" i="36"/>
  <c r="T68" i="39" s="1"/>
  <c r="F68" i="39" s="1"/>
  <c r="AA68" i="39"/>
  <c r="AB76" i="36"/>
  <c r="W76" i="39" s="1"/>
  <c r="I76" i="39" s="1"/>
  <c r="AD76" i="39"/>
  <c r="AC80" i="36"/>
  <c r="X80" i="39" s="1"/>
  <c r="J80" i="39" s="1"/>
  <c r="AE80" i="39"/>
  <c r="AC92" i="36"/>
  <c r="X92" i="39" s="1"/>
  <c r="J92" i="39" s="1"/>
  <c r="AE92" i="39"/>
  <c r="AA96" i="36"/>
  <c r="V96" i="39" s="1"/>
  <c r="H96" i="39" s="1"/>
  <c r="AC96" i="39"/>
  <c r="Y100" i="36"/>
  <c r="T100" i="39" s="1"/>
  <c r="F100" i="39" s="1"/>
  <c r="AA100" i="39"/>
  <c r="AD17" i="36"/>
  <c r="Y17" i="39" s="1"/>
  <c r="K17" i="39" s="1"/>
  <c r="AF17" i="39"/>
  <c r="AB21" i="36"/>
  <c r="W21" i="39" s="1"/>
  <c r="I21" i="39" s="1"/>
  <c r="AD21" i="39"/>
  <c r="AD33" i="36"/>
  <c r="Y33" i="39" s="1"/>
  <c r="AF33" i="39"/>
  <c r="AT33" i="39" s="1"/>
  <c r="Z41" i="36"/>
  <c r="U41" i="39" s="1"/>
  <c r="G41" i="39" s="1"/>
  <c r="AB41" i="39"/>
  <c r="AC53" i="36"/>
  <c r="X53" i="39" s="1"/>
  <c r="J53" i="39" s="1"/>
  <c r="AE53" i="39"/>
  <c r="Y65" i="36"/>
  <c r="T65" i="39" s="1"/>
  <c r="F65" i="39" s="1"/>
  <c r="AA65" i="39"/>
  <c r="AC69" i="36"/>
  <c r="X69" i="39" s="1"/>
  <c r="J69" i="39" s="1"/>
  <c r="AE69" i="39"/>
  <c r="Z73" i="36"/>
  <c r="U73" i="39" s="1"/>
  <c r="G73" i="39" s="1"/>
  <c r="AB73" i="39"/>
  <c r="AB81" i="36"/>
  <c r="W81" i="39" s="1"/>
  <c r="AD81" i="39"/>
  <c r="AA85" i="36"/>
  <c r="V85" i="39" s="1"/>
  <c r="H85" i="39" s="1"/>
  <c r="AC85" i="39"/>
  <c r="AC97" i="36"/>
  <c r="X97" i="39" s="1"/>
  <c r="J97" i="39" s="1"/>
  <c r="AE97" i="39"/>
  <c r="AA101" i="36"/>
  <c r="V101" i="39" s="1"/>
  <c r="H101" i="39" s="1"/>
  <c r="AC101" i="39"/>
  <c r="Y105" i="36"/>
  <c r="T105" i="39" s="1"/>
  <c r="F105" i="39" s="1"/>
  <c r="AA105" i="39"/>
  <c r="AC52" i="36"/>
  <c r="X52" i="39" s="1"/>
  <c r="J52" i="39" s="1"/>
  <c r="AE52" i="39"/>
  <c r="Z86" i="36"/>
  <c r="U86" i="39" s="1"/>
  <c r="G86" i="39" s="1"/>
  <c r="AB86" i="39"/>
  <c r="Z32" i="36"/>
  <c r="U32" i="39" s="1"/>
  <c r="G32" i="39" s="1"/>
  <c r="AB32" i="39"/>
  <c r="AB98" i="36"/>
  <c r="W98" i="39" s="1"/>
  <c r="I98" i="39" s="1"/>
  <c r="AD98" i="39"/>
  <c r="Y80" i="36"/>
  <c r="T80" i="39" s="1"/>
  <c r="F80" i="39" s="1"/>
  <c r="AA80" i="39"/>
  <c r="Z16" i="36"/>
  <c r="U16" i="39" s="1"/>
  <c r="G16" i="39" s="1"/>
  <c r="AB16" i="39"/>
  <c r="AB53" i="36"/>
  <c r="W53" i="39" s="1"/>
  <c r="I53" i="39" s="1"/>
  <c r="AD53" i="39"/>
  <c r="AO23" i="39"/>
  <c r="AD86" i="36"/>
  <c r="Y86" i="39" s="1"/>
  <c r="K86" i="39" s="1"/>
  <c r="AF86" i="39"/>
  <c r="Y46" i="36"/>
  <c r="T46" i="39" s="1"/>
  <c r="F46" i="39" s="1"/>
  <c r="AA46" i="39"/>
  <c r="AO18" i="39"/>
  <c r="AC25" i="36"/>
  <c r="X25" i="39" s="1"/>
  <c r="J25" i="39" s="1"/>
  <c r="AE25" i="39"/>
  <c r="Y70" i="36"/>
  <c r="T70" i="39" s="1"/>
  <c r="F70" i="39" s="1"/>
  <c r="AA70" i="39"/>
  <c r="AC93" i="36"/>
  <c r="N96" i="37" s="1"/>
  <c r="AE93" i="39"/>
  <c r="Y66" i="36"/>
  <c r="AA66" i="39"/>
  <c r="AB15" i="36"/>
  <c r="W15" i="39" s="1"/>
  <c r="I15" i="39" s="1"/>
  <c r="AD15" i="39"/>
  <c r="AC13" i="36"/>
  <c r="X13" i="39" s="1"/>
  <c r="J13" i="39" s="1"/>
  <c r="AE13" i="39"/>
  <c r="AC19" i="36"/>
  <c r="X19" i="39" s="1"/>
  <c r="J19" i="39" s="1"/>
  <c r="AE19" i="39"/>
  <c r="AA23" i="36"/>
  <c r="V23" i="39" s="1"/>
  <c r="AC23" i="39"/>
  <c r="AQ23" i="39" s="1"/>
  <c r="Y27" i="36"/>
  <c r="T27" i="39" s="1"/>
  <c r="F27" i="39" s="1"/>
  <c r="AA27" i="39"/>
  <c r="AB35" i="36"/>
  <c r="W35" i="39" s="1"/>
  <c r="AD35" i="39"/>
  <c r="AR35" i="39" s="1"/>
  <c r="AA39" i="36"/>
  <c r="V39" i="39" s="1"/>
  <c r="AC39" i="39"/>
  <c r="AQ39" i="39" s="1"/>
  <c r="Y43" i="36"/>
  <c r="J46" i="37" s="1"/>
  <c r="AA43" i="39"/>
  <c r="Y59" i="36"/>
  <c r="Q62" i="37" s="1"/>
  <c r="AA59" i="39"/>
  <c r="AB67" i="36"/>
  <c r="W67" i="39" s="1"/>
  <c r="I67" i="39" s="1"/>
  <c r="AD67" i="39"/>
  <c r="AC71" i="36"/>
  <c r="X71" i="39" s="1"/>
  <c r="J71" i="39" s="1"/>
  <c r="AE71" i="39"/>
  <c r="Y75" i="36"/>
  <c r="J78" i="37" s="1"/>
  <c r="AA75" i="39"/>
  <c r="AB83" i="36"/>
  <c r="W83" i="39" s="1"/>
  <c r="I83" i="39" s="1"/>
  <c r="AD83" i="39"/>
  <c r="Z87" i="36"/>
  <c r="U87" i="39" s="1"/>
  <c r="G87" i="39" s="1"/>
  <c r="AB87" i="39"/>
  <c r="AD91" i="36"/>
  <c r="Y91" i="39" s="1"/>
  <c r="K91" i="39" s="1"/>
  <c r="AF91" i="39"/>
  <c r="AB99" i="36"/>
  <c r="W99" i="39" s="1"/>
  <c r="I99" i="39" s="1"/>
  <c r="AD99" i="39"/>
  <c r="Y103" i="36"/>
  <c r="T103" i="39" s="1"/>
  <c r="F103" i="39" s="1"/>
  <c r="AA103" i="39"/>
  <c r="AD41" i="36"/>
  <c r="Y41" i="39" s="1"/>
  <c r="K41" i="39" s="1"/>
  <c r="AF41" i="39"/>
  <c r="Z42" i="36"/>
  <c r="U42" i="39" s="1"/>
  <c r="G42" i="39" s="1"/>
  <c r="AB42" i="39"/>
  <c r="AC79" i="36"/>
  <c r="X79" i="39" s="1"/>
  <c r="J79" i="39" s="1"/>
  <c r="AE79" i="39"/>
  <c r="Y92" i="36"/>
  <c r="T92" i="39" s="1"/>
  <c r="F92" i="39" s="1"/>
  <c r="AA92" i="39"/>
  <c r="AB44" i="36"/>
  <c r="W44" i="39" s="1"/>
  <c r="I44" i="39" s="1"/>
  <c r="AD44" i="39"/>
  <c r="AB71" i="36"/>
  <c r="W71" i="39" s="1"/>
  <c r="I71" i="39" s="1"/>
  <c r="AD71" i="39"/>
  <c r="AD43" i="36"/>
  <c r="Y43" i="39" s="1"/>
  <c r="AF43" i="39"/>
  <c r="AC34" i="36"/>
  <c r="X34" i="39" s="1"/>
  <c r="J34" i="39" s="1"/>
  <c r="AE34" i="39"/>
  <c r="AA93" i="36"/>
  <c r="V93" i="39" s="1"/>
  <c r="AC93" i="39"/>
  <c r="AQ93" i="39" s="1"/>
  <c r="AA104" i="36"/>
  <c r="V104" i="39" s="1"/>
  <c r="H104" i="39" s="1"/>
  <c r="AC104" i="39"/>
  <c r="AA52" i="36"/>
  <c r="V52" i="39" s="1"/>
  <c r="H52" i="39" s="1"/>
  <c r="AC52" i="39"/>
  <c r="AB49" i="36"/>
  <c r="W49" i="39" s="1"/>
  <c r="I49" i="39" s="1"/>
  <c r="AD49" i="39"/>
  <c r="Y86" i="36"/>
  <c r="T86" i="39" s="1"/>
  <c r="F86" i="39" s="1"/>
  <c r="AA86" i="39"/>
  <c r="AA72" i="36"/>
  <c r="V72" i="39" s="1"/>
  <c r="H72" i="39" s="1"/>
  <c r="AC72" i="39"/>
  <c r="Y38" i="36"/>
  <c r="T38" i="39" s="1"/>
  <c r="F38" i="39" s="1"/>
  <c r="AA38" i="39"/>
  <c r="AC77" i="36"/>
  <c r="N80" i="37" s="1"/>
  <c r="AE77" i="39"/>
  <c r="Y74" i="36"/>
  <c r="J77" i="37" s="1"/>
  <c r="AA74" i="39"/>
  <c r="AA15" i="36"/>
  <c r="V15" i="39" s="1"/>
  <c r="H15" i="39" s="1"/>
  <c r="AC15" i="39"/>
  <c r="AB13" i="36"/>
  <c r="W13" i="39" s="1"/>
  <c r="I13" i="39" s="1"/>
  <c r="AD13" i="39"/>
  <c r="Y87" i="36"/>
  <c r="T87" i="39" s="1"/>
  <c r="F87" i="39" s="1"/>
  <c r="AA87" i="39"/>
  <c r="S106" i="37"/>
  <c r="T67" i="40"/>
  <c r="T63" i="40"/>
  <c r="T68" i="40"/>
  <c r="T64" i="40"/>
  <c r="T69" i="40"/>
  <c r="T65" i="40"/>
  <c r="T66" i="40"/>
  <c r="T62" i="40"/>
  <c r="R74" i="40"/>
  <c r="R70" i="40"/>
  <c r="R75" i="40"/>
  <c r="R71" i="40"/>
  <c r="R76" i="40"/>
  <c r="R72" i="40"/>
  <c r="R77" i="40"/>
  <c r="R73" i="40"/>
  <c r="Q77" i="40"/>
  <c r="Q73" i="40"/>
  <c r="Q72" i="40"/>
  <c r="Q74" i="40"/>
  <c r="Q70" i="40"/>
  <c r="Q76" i="40"/>
  <c r="Q75" i="40"/>
  <c r="Q71" i="40"/>
  <c r="Q66" i="40"/>
  <c r="Q62" i="40"/>
  <c r="U52" i="37"/>
  <c r="Q42" i="37"/>
  <c r="J101" i="37"/>
  <c r="D30" i="22"/>
  <c r="K99" i="37"/>
  <c r="U34" i="37"/>
  <c r="N49" i="37"/>
  <c r="U49" i="37"/>
  <c r="N20" i="37"/>
  <c r="U20" i="37"/>
  <c r="L39" i="37"/>
  <c r="V75" i="37"/>
  <c r="O75" i="37"/>
  <c r="V107" i="37"/>
  <c r="O107" i="37"/>
  <c r="D36" i="22"/>
  <c r="Y33" i="36"/>
  <c r="T33" i="39" s="1"/>
  <c r="F33" i="39" s="1"/>
  <c r="AH33" i="39" s="1"/>
  <c r="U78" i="37"/>
  <c r="N78" i="37"/>
  <c r="K16" i="37"/>
  <c r="R48" i="37"/>
  <c r="K48" i="37"/>
  <c r="D19" i="22"/>
  <c r="Y16" i="36"/>
  <c r="T16" i="39" s="1"/>
  <c r="F16" i="39" s="1"/>
  <c r="AH16" i="39" s="1"/>
  <c r="U29" i="37"/>
  <c r="N29" i="37"/>
  <c r="J51" i="37"/>
  <c r="Q51" i="37"/>
  <c r="U61" i="37"/>
  <c r="N61" i="37"/>
  <c r="S72" i="37"/>
  <c r="L72" i="37"/>
  <c r="R43" i="37"/>
  <c r="K71" i="37"/>
  <c r="D26" i="22"/>
  <c r="Y23" i="36"/>
  <c r="T23" i="39" s="1"/>
  <c r="F23" i="39" s="1"/>
  <c r="AH23" i="39" s="1"/>
  <c r="S27" i="37"/>
  <c r="U39" i="37"/>
  <c r="N39" i="37"/>
  <c r="N71" i="37"/>
  <c r="U71" i="37"/>
  <c r="O23" i="37"/>
  <c r="V23" i="37"/>
  <c r="D16" i="22"/>
  <c r="Y13" i="36"/>
  <c r="T13" i="39" s="1"/>
  <c r="S37" i="37"/>
  <c r="L37" i="37"/>
  <c r="J48" i="37"/>
  <c r="Q48" i="37"/>
  <c r="Q80" i="37"/>
  <c r="M17" i="37"/>
  <c r="T17" i="37"/>
  <c r="D31" i="22"/>
  <c r="Y28" i="36"/>
  <c r="T28" i="39" s="1"/>
  <c r="F28" i="39" s="1"/>
  <c r="AH28" i="39" s="1"/>
  <c r="S52" i="37"/>
  <c r="L52" i="37"/>
  <c r="U73" i="37"/>
  <c r="N73" i="37"/>
  <c r="S47" i="37"/>
  <c r="L47" i="37"/>
  <c r="V77" i="37"/>
  <c r="O77" i="37"/>
  <c r="D17" i="22"/>
  <c r="Y14" i="36"/>
  <c r="T14" i="39" s="1"/>
  <c r="F14" i="39" s="1"/>
  <c r="AH14" i="39" s="1"/>
  <c r="V25" i="37"/>
  <c r="O25" i="37"/>
  <c r="D29" i="22"/>
  <c r="Y26" i="36"/>
  <c r="T26" i="39" s="1"/>
  <c r="F26" i="39" s="1"/>
  <c r="AH26" i="39" s="1"/>
  <c r="J97" i="37"/>
  <c r="Q97" i="37"/>
  <c r="K62" i="37"/>
  <c r="R62" i="37"/>
  <c r="S17" i="37"/>
  <c r="L17" i="37"/>
  <c r="U102" i="37"/>
  <c r="N102" i="37"/>
  <c r="V50" i="37"/>
  <c r="O50" i="37"/>
  <c r="S31" i="37"/>
  <c r="D25" i="22"/>
  <c r="Y22" i="36"/>
  <c r="T22" i="39" s="1"/>
  <c r="F22" i="39" s="1"/>
  <c r="AH22" i="39" s="1"/>
  <c r="T63" i="37"/>
  <c r="U59" i="37"/>
  <c r="N59" i="37"/>
  <c r="U91" i="37"/>
  <c r="N91" i="37"/>
  <c r="M41" i="37"/>
  <c r="D23" i="22"/>
  <c r="Y20" i="36"/>
  <c r="T20" i="39" s="1"/>
  <c r="F20" i="39" s="1"/>
  <c r="AH20" i="39" s="1"/>
  <c r="S76" i="37"/>
  <c r="L76" i="37"/>
  <c r="U97" i="37"/>
  <c r="N97" i="37"/>
  <c r="S67" i="37"/>
  <c r="L67" i="37"/>
  <c r="S108" i="37"/>
  <c r="L108" i="37"/>
  <c r="N76" i="37"/>
  <c r="U76" i="37"/>
  <c r="D37" i="22"/>
  <c r="Y34" i="36"/>
  <c r="T34" i="39" s="1"/>
  <c r="F34" i="39" s="1"/>
  <c r="AH34" i="39" s="1"/>
  <c r="D34" i="22"/>
  <c r="Y31" i="36"/>
  <c r="T31" i="39" s="1"/>
  <c r="F31" i="39" s="1"/>
  <c r="AH31" i="39" s="1"/>
  <c r="J22" i="37"/>
  <c r="Q22" i="37"/>
  <c r="N67" i="37"/>
  <c r="M42" i="37"/>
  <c r="S45" i="37"/>
  <c r="L45" i="37"/>
  <c r="J88" i="37"/>
  <c r="Q88" i="37"/>
  <c r="S28" i="37"/>
  <c r="L28" i="37"/>
  <c r="D38" i="22"/>
  <c r="Y35" i="36"/>
  <c r="T35" i="39" s="1"/>
  <c r="F35" i="39" s="1"/>
  <c r="AH35" i="39" s="1"/>
  <c r="Q45" i="37"/>
  <c r="J45" i="37"/>
  <c r="V16" i="37"/>
  <c r="O16" i="37"/>
  <c r="M22" i="37"/>
  <c r="T22" i="37"/>
  <c r="K25" i="37"/>
  <c r="U70" i="37"/>
  <c r="N70" i="37"/>
  <c r="K40" i="37"/>
  <c r="R40" i="37"/>
  <c r="K59" i="37"/>
  <c r="U50" i="37"/>
  <c r="N50" i="37"/>
  <c r="L30" i="37"/>
  <c r="S30" i="37"/>
  <c r="S78" i="37"/>
  <c r="L78" i="37"/>
  <c r="R17" i="37"/>
  <c r="K17" i="37"/>
  <c r="V59" i="37"/>
  <c r="O59" i="37"/>
  <c r="R81" i="37"/>
  <c r="K81" i="37"/>
  <c r="V91" i="37"/>
  <c r="O91" i="37"/>
  <c r="D20" i="22"/>
  <c r="Y17" i="36"/>
  <c r="T17" i="39" s="1"/>
  <c r="F17" i="39" s="1"/>
  <c r="AH17" i="39" s="1"/>
  <c r="J84" i="37"/>
  <c r="M85" i="37"/>
  <c r="D35" i="22"/>
  <c r="Y32" i="36"/>
  <c r="T32" i="39" s="1"/>
  <c r="F32" i="39" s="1"/>
  <c r="AH32" i="39" s="1"/>
  <c r="S56" i="37"/>
  <c r="L56" i="37"/>
  <c r="J67" i="37"/>
  <c r="Q67" i="37"/>
  <c r="U77" i="37"/>
  <c r="N77" i="37"/>
  <c r="K83" i="37"/>
  <c r="R83" i="37"/>
  <c r="T48" i="37"/>
  <c r="M48" i="37"/>
  <c r="T104" i="37"/>
  <c r="M104" i="37"/>
  <c r="T72" i="37"/>
  <c r="M72" i="37"/>
  <c r="T44" i="37"/>
  <c r="M44" i="37"/>
  <c r="V33" i="37"/>
  <c r="O33" i="37"/>
  <c r="S63" i="37"/>
  <c r="L63" i="37"/>
  <c r="U35" i="37"/>
  <c r="N35" i="37"/>
  <c r="V78" i="37"/>
  <c r="O78" i="37"/>
  <c r="V80" i="37"/>
  <c r="O80" i="37"/>
  <c r="R33" i="37"/>
  <c r="K33" i="37"/>
  <c r="D28" i="22"/>
  <c r="Y25" i="36"/>
  <c r="T25" i="39" s="1"/>
  <c r="F25" i="39" s="1"/>
  <c r="AH25" i="39" s="1"/>
  <c r="J43" i="37"/>
  <c r="Q43" i="37"/>
  <c r="U85" i="37"/>
  <c r="N85" i="37"/>
  <c r="V37" i="37"/>
  <c r="O37" i="37"/>
  <c r="V57" i="37"/>
  <c r="O57" i="37"/>
  <c r="T23" i="37"/>
  <c r="M23" i="37"/>
  <c r="R34" i="37"/>
  <c r="K34" i="37"/>
  <c r="R66" i="37"/>
  <c r="K66" i="37"/>
  <c r="T87" i="37"/>
  <c r="M87" i="37"/>
  <c r="R29" i="37"/>
  <c r="T50" i="37"/>
  <c r="M50" i="37"/>
  <c r="R93" i="37"/>
  <c r="K93" i="37"/>
  <c r="D32" i="22"/>
  <c r="Y29" i="36"/>
  <c r="T29" i="39" s="1"/>
  <c r="F29" i="39" s="1"/>
  <c r="AH29" i="39" s="1"/>
  <c r="S85" i="37"/>
  <c r="L85" i="37"/>
  <c r="J96" i="37"/>
  <c r="Q96" i="37"/>
  <c r="T65" i="37"/>
  <c r="M65" i="37"/>
  <c r="T97" i="37"/>
  <c r="M97" i="37"/>
  <c r="U57" i="37"/>
  <c r="N57" i="37"/>
  <c r="U89" i="37"/>
  <c r="N89" i="37"/>
  <c r="K75" i="37"/>
  <c r="D33" i="22"/>
  <c r="Y30" i="36"/>
  <c r="T30" i="39" s="1"/>
  <c r="F30" i="39" s="1"/>
  <c r="AH30" i="39" s="1"/>
  <c r="U104" i="37"/>
  <c r="N104" i="37"/>
  <c r="R21" i="37"/>
  <c r="K21" i="37"/>
  <c r="V63" i="37"/>
  <c r="O63" i="37"/>
  <c r="D24" i="22"/>
  <c r="Y21" i="36"/>
  <c r="T21" i="39" s="1"/>
  <c r="F21" i="39" s="1"/>
  <c r="AH21" i="39" s="1"/>
  <c r="U98" i="37"/>
  <c r="N98" i="37"/>
  <c r="J65" i="37"/>
  <c r="Q65" i="37"/>
  <c r="V24" i="37"/>
  <c r="L34" i="37"/>
  <c r="S34" i="37"/>
  <c r="S66" i="37"/>
  <c r="S82" i="37"/>
  <c r="L82" i="37"/>
  <c r="K73" i="37"/>
  <c r="Q44" i="37"/>
  <c r="T77" i="37"/>
  <c r="M77" i="37"/>
  <c r="R88" i="37"/>
  <c r="K88" i="37"/>
  <c r="V98" i="37"/>
  <c r="O98" i="37"/>
  <c r="S16" i="37"/>
  <c r="D27" i="22"/>
  <c r="Y24" i="36"/>
  <c r="T24" i="39" s="1"/>
  <c r="F24" i="39" s="1"/>
  <c r="AH24" i="39" s="1"/>
  <c r="U101" i="37"/>
  <c r="N101" i="37"/>
  <c r="S103" i="37"/>
  <c r="L103" i="37"/>
  <c r="R79" i="37"/>
  <c r="K79" i="37"/>
  <c r="K51" i="37"/>
  <c r="R51" i="37"/>
  <c r="T100" i="37"/>
  <c r="D18" i="22"/>
  <c r="Y15" i="36"/>
  <c r="T15" i="39" s="1"/>
  <c r="F15" i="39" s="1"/>
  <c r="AH15" i="39" s="1"/>
  <c r="V65" i="37"/>
  <c r="O65" i="37"/>
  <c r="D21" i="22"/>
  <c r="Y18" i="36"/>
  <c r="T18" i="39" s="1"/>
  <c r="F18" i="39" s="1"/>
  <c r="AH18" i="39" s="1"/>
  <c r="R91" i="37"/>
  <c r="L43" i="37"/>
  <c r="S43" i="37"/>
  <c r="S23" i="36"/>
  <c r="W65" i="36"/>
  <c r="S38" i="36"/>
  <c r="W80" i="36"/>
  <c r="S43" i="36"/>
  <c r="W101" i="36"/>
  <c r="W37" i="36"/>
  <c r="U28" i="36"/>
  <c r="W49" i="36"/>
  <c r="S71" i="36"/>
  <c r="V48" i="36"/>
  <c r="S19" i="36"/>
  <c r="U40" i="36"/>
  <c r="S51" i="36"/>
  <c r="W61" i="36"/>
  <c r="U72" i="36"/>
  <c r="S83" i="36"/>
  <c r="T35" i="36"/>
  <c r="T51" i="36"/>
  <c r="T99" i="36"/>
  <c r="U23" i="36"/>
  <c r="S34" i="36"/>
  <c r="W44" i="36"/>
  <c r="U55" i="36"/>
  <c r="S66" i="36"/>
  <c r="W76" i="36"/>
  <c r="U87" i="36"/>
  <c r="S98" i="36"/>
  <c r="V51" i="36"/>
  <c r="T62" i="36"/>
  <c r="V83" i="36"/>
  <c r="T94" i="36"/>
  <c r="S25" i="36"/>
  <c r="W35" i="36"/>
  <c r="U46" i="36"/>
  <c r="S57" i="36"/>
  <c r="W67" i="36"/>
  <c r="U78" i="36"/>
  <c r="S89" i="36"/>
  <c r="W99" i="36"/>
  <c r="T21" i="36"/>
  <c r="V42" i="36"/>
  <c r="L66" i="37" l="1"/>
  <c r="M63" i="37"/>
  <c r="O87" i="37"/>
  <c r="R16" i="37"/>
  <c r="J44" i="37"/>
  <c r="S50" i="37"/>
  <c r="Q84" i="37"/>
  <c r="R105" i="37"/>
  <c r="N105" i="37"/>
  <c r="U75" i="37"/>
  <c r="Q87" i="37"/>
  <c r="L49" i="37"/>
  <c r="L31" i="37"/>
  <c r="L98" i="37"/>
  <c r="V88" i="37"/>
  <c r="M20" i="37"/>
  <c r="U108" i="37"/>
  <c r="V29" i="37"/>
  <c r="K94" i="37"/>
  <c r="N75" i="37"/>
  <c r="M83" i="37"/>
  <c r="L58" i="37"/>
  <c r="T19" i="37"/>
  <c r="N62" i="37"/>
  <c r="O32" i="37"/>
  <c r="T25" i="37"/>
  <c r="J87" i="37"/>
  <c r="M27" i="37"/>
  <c r="S40" i="37"/>
  <c r="K49" i="37"/>
  <c r="V32" i="37"/>
  <c r="M25" i="37"/>
  <c r="J72" i="37"/>
  <c r="T96" i="37"/>
  <c r="K104" i="37"/>
  <c r="N68" i="37"/>
  <c r="U17" i="37"/>
  <c r="V22" i="37"/>
  <c r="M55" i="37"/>
  <c r="M106" i="37"/>
  <c r="R49" i="37"/>
  <c r="T106" i="37"/>
  <c r="N93" i="37"/>
  <c r="Q65" i="40"/>
  <c r="V35" i="37"/>
  <c r="K76" i="37"/>
  <c r="K80" i="37"/>
  <c r="R73" i="37"/>
  <c r="K55" i="37"/>
  <c r="S39" i="37"/>
  <c r="M96" i="37"/>
  <c r="R55" i="37"/>
  <c r="K47" i="37"/>
  <c r="N31" i="37"/>
  <c r="S93" i="37"/>
  <c r="K43" i="37"/>
  <c r="M56" i="37"/>
  <c r="M40" i="37"/>
  <c r="L16" i="37"/>
  <c r="S49" i="37"/>
  <c r="O76" i="37"/>
  <c r="U62" i="37"/>
  <c r="K82" i="37"/>
  <c r="J100" i="37"/>
  <c r="Q69" i="40"/>
  <c r="X69" i="40" s="1"/>
  <c r="T40" i="37"/>
  <c r="O35" i="37"/>
  <c r="O39" i="37"/>
  <c r="V76" i="37"/>
  <c r="M34" i="37"/>
  <c r="R82" i="37"/>
  <c r="Q100" i="37"/>
  <c r="N34" i="37"/>
  <c r="N63" i="37"/>
  <c r="K64" i="37"/>
  <c r="R59" i="37"/>
  <c r="T83" i="37"/>
  <c r="N108" i="37"/>
  <c r="L79" i="37"/>
  <c r="U41" i="37"/>
  <c r="L27" i="37"/>
  <c r="R80" i="37"/>
  <c r="V95" i="37"/>
  <c r="Q63" i="40"/>
  <c r="M100" i="37"/>
  <c r="M19" i="37"/>
  <c r="U63" i="37"/>
  <c r="L90" i="37"/>
  <c r="R64" i="37"/>
  <c r="Q72" i="37"/>
  <c r="S79" i="37"/>
  <c r="N41" i="37"/>
  <c r="O29" i="37"/>
  <c r="L40" i="37"/>
  <c r="O95" i="37"/>
  <c r="Q68" i="40"/>
  <c r="AE68" i="40" s="1"/>
  <c r="V67" i="37"/>
  <c r="T16" i="37"/>
  <c r="R31" i="37"/>
  <c r="T42" i="37"/>
  <c r="S87" i="37"/>
  <c r="O24" i="37"/>
  <c r="R75" i="37"/>
  <c r="T85" i="37"/>
  <c r="U67" i="37"/>
  <c r="J80" i="37"/>
  <c r="K58" i="37"/>
  <c r="K91" i="37"/>
  <c r="R25" i="37"/>
  <c r="T41" i="37"/>
  <c r="V71" i="37"/>
  <c r="O20" i="37"/>
  <c r="K97" i="37"/>
  <c r="K90" i="37"/>
  <c r="Q81" i="37"/>
  <c r="J81" i="37"/>
  <c r="Q64" i="37"/>
  <c r="K98" i="37"/>
  <c r="S29" i="37"/>
  <c r="M80" i="37"/>
  <c r="S58" i="37"/>
  <c r="T33" i="37"/>
  <c r="J64" i="37"/>
  <c r="R98" i="37"/>
  <c r="K39" i="37"/>
  <c r="T20" i="37"/>
  <c r="K57" i="37"/>
  <c r="J60" i="37"/>
  <c r="M64" i="37"/>
  <c r="T101" i="37"/>
  <c r="O26" i="37"/>
  <c r="S76" i="40"/>
  <c r="Z76" i="40" s="1"/>
  <c r="M33" i="37"/>
  <c r="R61" i="37"/>
  <c r="O30" i="37"/>
  <c r="R30" i="37"/>
  <c r="N103" i="37"/>
  <c r="T37" i="37"/>
  <c r="O82" i="37"/>
  <c r="L36" i="37"/>
  <c r="O22" i="37"/>
  <c r="R94" i="37"/>
  <c r="R57" i="37"/>
  <c r="M84" i="37"/>
  <c r="Q60" i="37"/>
  <c r="Q63" i="37"/>
  <c r="T64" i="37"/>
  <c r="V90" i="37"/>
  <c r="V26" i="37"/>
  <c r="V82" i="37"/>
  <c r="S46" i="37"/>
  <c r="J63" i="37"/>
  <c r="O90" i="37"/>
  <c r="M29" i="37"/>
  <c r="M21" i="37"/>
  <c r="K61" i="37"/>
  <c r="T21" i="37"/>
  <c r="K30" i="37"/>
  <c r="Q52" i="37"/>
  <c r="N53" i="37"/>
  <c r="Q47" i="37"/>
  <c r="M36" i="37"/>
  <c r="J47" i="37"/>
  <c r="R84" i="37"/>
  <c r="Q30" i="37"/>
  <c r="L46" i="37"/>
  <c r="J106" i="37"/>
  <c r="Q103" i="37"/>
  <c r="N37" i="37"/>
  <c r="L92" i="37"/>
  <c r="U103" i="37"/>
  <c r="M71" i="37"/>
  <c r="V36" i="37"/>
  <c r="N100" i="37"/>
  <c r="S55" i="37"/>
  <c r="S36" i="37"/>
  <c r="T29" i="37"/>
  <c r="V27" i="37"/>
  <c r="S26" i="37"/>
  <c r="R19" i="37"/>
  <c r="K107" i="37"/>
  <c r="M98" i="37"/>
  <c r="V28" i="37"/>
  <c r="R71" i="37"/>
  <c r="R97" i="37"/>
  <c r="S99" i="37"/>
  <c r="S90" i="37"/>
  <c r="L60" i="37"/>
  <c r="N81" i="37"/>
  <c r="S81" i="37"/>
  <c r="N66" i="37"/>
  <c r="O27" i="37"/>
  <c r="K19" i="37"/>
  <c r="R107" i="37"/>
  <c r="O28" i="37"/>
  <c r="N19" i="37"/>
  <c r="N47" i="37"/>
  <c r="R58" i="37"/>
  <c r="U100" i="37"/>
  <c r="S60" i="37"/>
  <c r="L33" i="37"/>
  <c r="R89" i="37"/>
  <c r="U21" i="37"/>
  <c r="K18" i="37"/>
  <c r="O93" i="37"/>
  <c r="U19" i="37"/>
  <c r="U47" i="37"/>
  <c r="U81" i="37"/>
  <c r="L81" i="37"/>
  <c r="U66" i="37"/>
  <c r="M57" i="37"/>
  <c r="S33" i="37"/>
  <c r="N72" i="37"/>
  <c r="J71" i="37"/>
  <c r="N23" i="37"/>
  <c r="R18" i="37"/>
  <c r="V93" i="37"/>
  <c r="L25" i="37"/>
  <c r="L55" i="37"/>
  <c r="J41" i="37"/>
  <c r="L26" i="37"/>
  <c r="O36" i="37"/>
  <c r="K105" i="37"/>
  <c r="Q49" i="37"/>
  <c r="U72" i="37"/>
  <c r="O71" i="37"/>
  <c r="J52" i="37"/>
  <c r="K84" i="37"/>
  <c r="K31" i="37"/>
  <c r="R67" i="37"/>
  <c r="L87" i="37"/>
  <c r="O46" i="37"/>
  <c r="U23" i="37"/>
  <c r="S25" i="37"/>
  <c r="N32" i="37"/>
  <c r="T52" i="37"/>
  <c r="K35" i="37"/>
  <c r="T39" i="37"/>
  <c r="S41" i="37"/>
  <c r="S105" i="37"/>
  <c r="Q75" i="37"/>
  <c r="V81" i="37"/>
  <c r="M38" i="37"/>
  <c r="V99" i="37"/>
  <c r="O44" i="37"/>
  <c r="T107" i="37"/>
  <c r="U56" i="37"/>
  <c r="V51" i="37"/>
  <c r="U106" i="37"/>
  <c r="K63" i="37"/>
  <c r="V96" i="37"/>
  <c r="M93" i="37"/>
  <c r="T28" i="37"/>
  <c r="S61" i="37"/>
  <c r="L96" i="37"/>
  <c r="O43" i="37"/>
  <c r="M88" i="37"/>
  <c r="T103" i="37"/>
  <c r="T92" i="37"/>
  <c r="S77" i="40"/>
  <c r="S62" i="40"/>
  <c r="AG62" i="40" s="1"/>
  <c r="M89" i="37"/>
  <c r="O88" i="37"/>
  <c r="R63" i="37"/>
  <c r="T38" i="37"/>
  <c r="T93" i="37"/>
  <c r="T84" i="37"/>
  <c r="L29" i="37"/>
  <c r="V20" i="37"/>
  <c r="S96" i="37"/>
  <c r="V43" i="37"/>
  <c r="T88" i="37"/>
  <c r="M101" i="37"/>
  <c r="M37" i="37"/>
  <c r="S72" i="40"/>
  <c r="AG72" i="40" s="1"/>
  <c r="L106" i="37"/>
  <c r="T80" i="37"/>
  <c r="M35" i="37"/>
  <c r="N79" i="37"/>
  <c r="T55" i="37"/>
  <c r="R104" i="37"/>
  <c r="U68" i="37"/>
  <c r="K96" i="37"/>
  <c r="M70" i="37"/>
  <c r="U16" i="37"/>
  <c r="U53" i="37"/>
  <c r="T27" i="37"/>
  <c r="R90" i="37"/>
  <c r="R47" i="37"/>
  <c r="U105" i="37"/>
  <c r="L57" i="37"/>
  <c r="V101" i="37"/>
  <c r="N17" i="37"/>
  <c r="N83" i="37"/>
  <c r="S71" i="40"/>
  <c r="AG71" i="40" s="1"/>
  <c r="O101" i="37"/>
  <c r="T35" i="37"/>
  <c r="O99" i="37"/>
  <c r="S70" i="37"/>
  <c r="T89" i="37"/>
  <c r="U79" i="37"/>
  <c r="V44" i="37"/>
  <c r="R96" i="37"/>
  <c r="N94" i="37"/>
  <c r="T70" i="37"/>
  <c r="N16" i="37"/>
  <c r="L91" i="37"/>
  <c r="V60" i="37"/>
  <c r="S57" i="37"/>
  <c r="U83" i="37"/>
  <c r="S75" i="40"/>
  <c r="AG75" i="40" s="1"/>
  <c r="R24" i="37"/>
  <c r="L70" i="37"/>
  <c r="U94" i="37"/>
  <c r="M107" i="37"/>
  <c r="N56" i="37"/>
  <c r="S91" i="37"/>
  <c r="O60" i="37"/>
  <c r="S35" i="37"/>
  <c r="L77" i="37"/>
  <c r="S73" i="40"/>
  <c r="AG73" i="40" s="1"/>
  <c r="L32" i="37"/>
  <c r="L35" i="37"/>
  <c r="L95" i="37"/>
  <c r="S77" i="37"/>
  <c r="S70" i="40"/>
  <c r="AG70" i="40" s="1"/>
  <c r="S69" i="40"/>
  <c r="AG69" i="40" s="1"/>
  <c r="K24" i="37"/>
  <c r="O86" i="37"/>
  <c r="V30" i="37"/>
  <c r="O51" i="37"/>
  <c r="V86" i="37"/>
  <c r="N106" i="37"/>
  <c r="O96" i="37"/>
  <c r="S32" i="37"/>
  <c r="M28" i="37"/>
  <c r="L61" i="37"/>
  <c r="M103" i="37"/>
  <c r="M92" i="37"/>
  <c r="S95" i="37"/>
  <c r="M47" i="37"/>
  <c r="S74" i="40"/>
  <c r="Z74" i="40" s="1"/>
  <c r="S67" i="40"/>
  <c r="AG67" i="40" s="1"/>
  <c r="R78" i="37"/>
  <c r="U44" i="37"/>
  <c r="O103" i="37"/>
  <c r="N90" i="37"/>
  <c r="K50" i="37"/>
  <c r="O61" i="37"/>
  <c r="M69" i="37"/>
  <c r="T70" i="40"/>
  <c r="AH70" i="40" s="1"/>
  <c r="R23" i="37"/>
  <c r="O49" i="37"/>
  <c r="Q92" i="37"/>
  <c r="V45" i="37"/>
  <c r="K78" i="37"/>
  <c r="L100" i="37"/>
  <c r="V103" i="37"/>
  <c r="V49" i="37"/>
  <c r="V74" i="37"/>
  <c r="N30" i="37"/>
  <c r="Q55" i="37"/>
  <c r="V84" i="37"/>
  <c r="O73" i="37"/>
  <c r="U90" i="37"/>
  <c r="R50" i="37"/>
  <c r="V61" i="37"/>
  <c r="T69" i="37"/>
  <c r="O45" i="37"/>
  <c r="O84" i="37"/>
  <c r="S100" i="37"/>
  <c r="V39" i="37"/>
  <c r="O74" i="37"/>
  <c r="U30" i="37"/>
  <c r="J55" i="37"/>
  <c r="Q105" i="37"/>
  <c r="O67" i="37"/>
  <c r="V73" i="37"/>
  <c r="M39" i="37"/>
  <c r="S86" i="37"/>
  <c r="O97" i="37"/>
  <c r="T68" i="37"/>
  <c r="S98" i="37"/>
  <c r="M99" i="37"/>
  <c r="N42" i="37"/>
  <c r="M78" i="37"/>
  <c r="J61" i="37"/>
  <c r="N58" i="37"/>
  <c r="V97" i="37"/>
  <c r="M68" i="37"/>
  <c r="K56" i="37"/>
  <c r="T99" i="37"/>
  <c r="M59" i="37"/>
  <c r="L68" i="37"/>
  <c r="U25" i="37"/>
  <c r="U42" i="37"/>
  <c r="T78" i="37"/>
  <c r="U24" i="37"/>
  <c r="Q61" i="37"/>
  <c r="L20" i="37"/>
  <c r="U58" i="37"/>
  <c r="R56" i="37"/>
  <c r="T59" i="37"/>
  <c r="S68" i="37"/>
  <c r="N25" i="37"/>
  <c r="O54" i="37"/>
  <c r="T46" i="37"/>
  <c r="N24" i="37"/>
  <c r="L23" i="37"/>
  <c r="Q93" i="37"/>
  <c r="O17" i="37"/>
  <c r="N44" i="37"/>
  <c r="K23" i="37"/>
  <c r="V54" i="37"/>
  <c r="M46" i="37"/>
  <c r="J92" i="37"/>
  <c r="S23" i="37"/>
  <c r="V17" i="37"/>
  <c r="R53" i="37"/>
  <c r="T45" i="37"/>
  <c r="V69" i="37"/>
  <c r="O53" i="37"/>
  <c r="T84" i="40"/>
  <c r="AA84" i="40" s="1"/>
  <c r="L80" i="37"/>
  <c r="O34" i="37"/>
  <c r="T30" i="37"/>
  <c r="S83" i="37"/>
  <c r="U46" i="37"/>
  <c r="V34" i="37"/>
  <c r="M30" i="37"/>
  <c r="M53" i="37"/>
  <c r="K106" i="37"/>
  <c r="U40" i="37"/>
  <c r="M95" i="37"/>
  <c r="M94" i="37"/>
  <c r="R38" i="37"/>
  <c r="K32" i="37"/>
  <c r="M105" i="37"/>
  <c r="S22" i="37"/>
  <c r="N107" i="37"/>
  <c r="T32" i="37"/>
  <c r="T94" i="37"/>
  <c r="L94" i="37"/>
  <c r="S85" i="40"/>
  <c r="V66" i="37"/>
  <c r="V31" i="37"/>
  <c r="U18" i="37"/>
  <c r="N65" i="37"/>
  <c r="R102" i="37"/>
  <c r="S78" i="40"/>
  <c r="Z78" i="40" s="1"/>
  <c r="Q59" i="37"/>
  <c r="Q107" i="37"/>
  <c r="Q108" i="37"/>
  <c r="Q99" i="37"/>
  <c r="J73" i="37"/>
  <c r="J59" i="37"/>
  <c r="J99" i="37"/>
  <c r="J107" i="37"/>
  <c r="Q79" i="37"/>
  <c r="Q56" i="37"/>
  <c r="J79" i="37"/>
  <c r="Q89" i="37"/>
  <c r="J56" i="37"/>
  <c r="J89" i="37"/>
  <c r="J108" i="37"/>
  <c r="Q73" i="37"/>
  <c r="K89" i="37"/>
  <c r="V46" i="37"/>
  <c r="T47" i="37"/>
  <c r="Q67" i="40"/>
  <c r="AE67" i="40" s="1"/>
  <c r="S64" i="40"/>
  <c r="Z64" i="40" s="1"/>
  <c r="V19" i="37"/>
  <c r="M102" i="37"/>
  <c r="S42" i="37"/>
  <c r="K36" i="37"/>
  <c r="Q41" i="37"/>
  <c r="T102" i="37"/>
  <c r="T108" i="37"/>
  <c r="K20" i="37"/>
  <c r="M54" i="37"/>
  <c r="N82" i="37"/>
  <c r="U99" i="37"/>
  <c r="R42" i="37"/>
  <c r="M16" i="37"/>
  <c r="T57" i="37"/>
  <c r="U82" i="37"/>
  <c r="U32" i="37"/>
  <c r="N21" i="37"/>
  <c r="Q71" i="37"/>
  <c r="L99" i="37"/>
  <c r="Q64" i="40"/>
  <c r="AE64" i="40" s="1"/>
  <c r="S66" i="40"/>
  <c r="AG66" i="40" s="1"/>
  <c r="K100" i="37"/>
  <c r="O19" i="37"/>
  <c r="L62" i="37"/>
  <c r="K70" i="37"/>
  <c r="R20" i="37"/>
  <c r="R100" i="37"/>
  <c r="V58" i="37"/>
  <c r="T54" i="37"/>
  <c r="T79" i="40"/>
  <c r="AH79" i="40" s="1"/>
  <c r="V53" i="37"/>
  <c r="N95" i="37"/>
  <c r="R36" i="37"/>
  <c r="O42" i="37"/>
  <c r="L42" i="37"/>
  <c r="Q91" i="37"/>
  <c r="N74" i="37"/>
  <c r="L21" i="37"/>
  <c r="U95" i="37"/>
  <c r="O108" i="37"/>
  <c r="M76" i="37"/>
  <c r="M51" i="37"/>
  <c r="V42" i="37"/>
  <c r="S62" i="37"/>
  <c r="O62" i="37"/>
  <c r="J105" i="37"/>
  <c r="R70" i="37"/>
  <c r="O94" i="37"/>
  <c r="O55" i="37"/>
  <c r="U87" i="37"/>
  <c r="U36" i="37"/>
  <c r="O58" i="37"/>
  <c r="L86" i="37"/>
  <c r="K53" i="37"/>
  <c r="T83" i="40"/>
  <c r="AH83" i="40" s="1"/>
  <c r="R69" i="40"/>
  <c r="AF69" i="40" s="1"/>
  <c r="N88" i="37"/>
  <c r="V55" i="37"/>
  <c r="T78" i="40"/>
  <c r="AH78" i="40" s="1"/>
  <c r="M67" i="37"/>
  <c r="S21" i="37"/>
  <c r="V62" i="37"/>
  <c r="N22" i="37"/>
  <c r="S18" i="37"/>
  <c r="T67" i="37"/>
  <c r="O18" i="37"/>
  <c r="N27" i="37"/>
  <c r="K95" i="37"/>
  <c r="Q39" i="37"/>
  <c r="O105" i="37"/>
  <c r="L88" i="37"/>
  <c r="K52" i="37"/>
  <c r="L64" i="37"/>
  <c r="V100" i="37"/>
  <c r="M73" i="37"/>
  <c r="L71" i="37"/>
  <c r="K45" i="37"/>
  <c r="M60" i="37"/>
  <c r="Q83" i="37"/>
  <c r="T82" i="40"/>
  <c r="AA82" i="40" s="1"/>
  <c r="T77" i="40"/>
  <c r="AH77" i="40" s="1"/>
  <c r="L18" i="37"/>
  <c r="T51" i="37"/>
  <c r="V94" i="37"/>
  <c r="N87" i="37"/>
  <c r="N69" i="37"/>
  <c r="U22" i="37"/>
  <c r="V18" i="37"/>
  <c r="L59" i="37"/>
  <c r="K108" i="37"/>
  <c r="U27" i="37"/>
  <c r="R95" i="37"/>
  <c r="J39" i="37"/>
  <c r="O41" i="37"/>
  <c r="V105" i="37"/>
  <c r="S88" i="37"/>
  <c r="R52" i="37"/>
  <c r="Q40" i="37"/>
  <c r="S64" i="37"/>
  <c r="M24" i="37"/>
  <c r="T73" i="37"/>
  <c r="S71" i="37"/>
  <c r="T60" i="37"/>
  <c r="L89" i="37"/>
  <c r="T81" i="40"/>
  <c r="AA81" i="40" s="1"/>
  <c r="T72" i="40"/>
  <c r="AH72" i="40" s="1"/>
  <c r="J91" i="37"/>
  <c r="T76" i="37"/>
  <c r="O100" i="37"/>
  <c r="N36" i="37"/>
  <c r="U69" i="37"/>
  <c r="R108" i="37"/>
  <c r="V41" i="37"/>
  <c r="S107" i="37"/>
  <c r="O106" i="37"/>
  <c r="J40" i="37"/>
  <c r="L74" i="37"/>
  <c r="T24" i="37"/>
  <c r="L44" i="37"/>
  <c r="M91" i="37"/>
  <c r="M74" i="37"/>
  <c r="N60" i="37"/>
  <c r="L69" i="37"/>
  <c r="N55" i="37"/>
  <c r="S89" i="37"/>
  <c r="K65" i="37"/>
  <c r="T85" i="40"/>
  <c r="AH85" i="40" s="1"/>
  <c r="T71" i="40"/>
  <c r="AA71" i="40" s="1"/>
  <c r="U74" i="37"/>
  <c r="V108" i="37"/>
  <c r="R27" i="37"/>
  <c r="J76" i="37"/>
  <c r="S59" i="37"/>
  <c r="K27" i="37"/>
  <c r="Q76" i="37"/>
  <c r="O69" i="37"/>
  <c r="L107" i="37"/>
  <c r="V106" i="37"/>
  <c r="K42" i="37"/>
  <c r="M108" i="37"/>
  <c r="S74" i="37"/>
  <c r="S44" i="37"/>
  <c r="T91" i="37"/>
  <c r="N99" i="37"/>
  <c r="J93" i="37"/>
  <c r="U60" i="37"/>
  <c r="S20" i="37"/>
  <c r="S69" i="37"/>
  <c r="R65" i="37"/>
  <c r="T80" i="40"/>
  <c r="AH80" i="40" s="1"/>
  <c r="T75" i="40"/>
  <c r="AH75" i="40" s="1"/>
  <c r="AH44" i="39"/>
  <c r="AI81" i="39"/>
  <c r="R63" i="40"/>
  <c r="AF63" i="40" s="1"/>
  <c r="T73" i="40"/>
  <c r="AH73" i="40" s="1"/>
  <c r="T76" i="40"/>
  <c r="AA76" i="40" s="1"/>
  <c r="U43" i="37"/>
  <c r="U92" i="37"/>
  <c r="L84" i="37"/>
  <c r="L101" i="37"/>
  <c r="R83" i="40"/>
  <c r="Y83" i="40" s="1"/>
  <c r="V56" i="37"/>
  <c r="T82" i="37"/>
  <c r="J104" i="37"/>
  <c r="M66" i="37"/>
  <c r="K68" i="37"/>
  <c r="S84" i="40"/>
  <c r="AG84" i="40" s="1"/>
  <c r="O66" i="37"/>
  <c r="L50" i="37"/>
  <c r="L83" i="37"/>
  <c r="K29" i="37"/>
  <c r="K38" i="37"/>
  <c r="O31" i="37"/>
  <c r="R32" i="37"/>
  <c r="L41" i="37"/>
  <c r="S94" i="37"/>
  <c r="L93" i="37"/>
  <c r="N18" i="37"/>
  <c r="R106" i="37"/>
  <c r="Q106" i="37"/>
  <c r="K67" i="37"/>
  <c r="N40" i="37"/>
  <c r="N92" i="37"/>
  <c r="S84" i="37"/>
  <c r="S101" i="37"/>
  <c r="T66" i="37"/>
  <c r="U93" i="37"/>
  <c r="N46" i="37"/>
  <c r="R68" i="37"/>
  <c r="R78" i="40"/>
  <c r="AF78" i="40" s="1"/>
  <c r="S81" i="40"/>
  <c r="Z81" i="40" s="1"/>
  <c r="AI92" i="39"/>
  <c r="AL66" i="39"/>
  <c r="AI97" i="39"/>
  <c r="AJ18" i="39"/>
  <c r="AM52" i="39"/>
  <c r="AM97" i="39"/>
  <c r="AI39" i="39"/>
  <c r="AI67" i="39"/>
  <c r="AK73" i="39"/>
  <c r="AL33" i="39"/>
  <c r="AI105" i="39"/>
  <c r="AH37" i="39"/>
  <c r="AL96" i="39"/>
  <c r="AJ59" i="39"/>
  <c r="AK51" i="39"/>
  <c r="AM59" i="39"/>
  <c r="L48" i="37"/>
  <c r="M62" i="37"/>
  <c r="O72" i="37"/>
  <c r="M79" i="37"/>
  <c r="O21" i="37"/>
  <c r="L104" i="37"/>
  <c r="K103" i="37"/>
  <c r="K44" i="37"/>
  <c r="L53" i="37"/>
  <c r="M18" i="37"/>
  <c r="U28" i="37"/>
  <c r="M61" i="37"/>
  <c r="L73" i="37"/>
  <c r="U33" i="37"/>
  <c r="K72" i="37"/>
  <c r="N38" i="37"/>
  <c r="S19" i="37"/>
  <c r="S51" i="37"/>
  <c r="K85" i="37"/>
  <c r="K87" i="37"/>
  <c r="T98" i="37"/>
  <c r="T71" i="37"/>
  <c r="M86" i="37"/>
  <c r="T36" i="37"/>
  <c r="J103" i="37"/>
  <c r="R35" i="37"/>
  <c r="S79" i="40"/>
  <c r="Z79" i="40" s="1"/>
  <c r="U88" i="37"/>
  <c r="AH86" i="39"/>
  <c r="AJ26" i="39"/>
  <c r="AL76" i="39"/>
  <c r="S48" i="37"/>
  <c r="T62" i="37"/>
  <c r="V72" i="37"/>
  <c r="T79" i="37"/>
  <c r="V21" i="37"/>
  <c r="S104" i="37"/>
  <c r="R103" i="37"/>
  <c r="R44" i="37"/>
  <c r="S53" i="37"/>
  <c r="T18" i="37"/>
  <c r="N28" i="37"/>
  <c r="T61" i="37"/>
  <c r="S73" i="37"/>
  <c r="N33" i="37"/>
  <c r="R72" i="37"/>
  <c r="U38" i="37"/>
  <c r="L19" i="37"/>
  <c r="L51" i="37"/>
  <c r="R85" i="37"/>
  <c r="R87" i="37"/>
  <c r="M32" i="37"/>
  <c r="V87" i="37"/>
  <c r="M52" i="37"/>
  <c r="K102" i="37"/>
  <c r="S83" i="40"/>
  <c r="AG83" i="40" s="1"/>
  <c r="O89" i="37"/>
  <c r="S80" i="37"/>
  <c r="U37" i="37"/>
  <c r="M45" i="37"/>
  <c r="J75" i="37"/>
  <c r="J30" i="37"/>
  <c r="J49" i="37"/>
  <c r="R76" i="37"/>
  <c r="U31" i="37"/>
  <c r="R39" i="37"/>
  <c r="T53" i="37"/>
  <c r="L105" i="37"/>
  <c r="T105" i="37"/>
  <c r="T56" i="37"/>
  <c r="L22" i="37"/>
  <c r="S92" i="37"/>
  <c r="J57" i="37"/>
  <c r="U65" i="37"/>
  <c r="T95" i="37"/>
  <c r="V89" i="37"/>
  <c r="U107" i="37"/>
  <c r="Q95" i="37"/>
  <c r="N26" i="37"/>
  <c r="K77" i="37"/>
  <c r="T34" i="37"/>
  <c r="V92" i="37"/>
  <c r="O48" i="37"/>
  <c r="S82" i="40"/>
  <c r="AG82" i="40" s="1"/>
  <c r="Q57" i="37"/>
  <c r="O56" i="37"/>
  <c r="M82" i="37"/>
  <c r="O81" i="37"/>
  <c r="Q104" i="37"/>
  <c r="N43" i="37"/>
  <c r="J95" i="37"/>
  <c r="U26" i="37"/>
  <c r="R77" i="37"/>
  <c r="O92" i="37"/>
  <c r="V48" i="37"/>
  <c r="R79" i="40"/>
  <c r="Y79" i="40" s="1"/>
  <c r="S80" i="40"/>
  <c r="Z80" i="40" s="1"/>
  <c r="R66" i="40"/>
  <c r="AF66" i="40" s="1"/>
  <c r="AM66" i="39"/>
  <c r="AH88" i="39"/>
  <c r="AK70" i="39"/>
  <c r="AJ56" i="39"/>
  <c r="AJ61" i="39"/>
  <c r="AH87" i="39"/>
  <c r="AL34" i="39"/>
  <c r="AH92" i="39"/>
  <c r="AH103" i="39"/>
  <c r="AJ45" i="39"/>
  <c r="AI40" i="39"/>
  <c r="R68" i="40"/>
  <c r="Y68" i="40" s="1"/>
  <c r="Q68" i="37"/>
  <c r="Q84" i="40"/>
  <c r="AE84" i="40" s="1"/>
  <c r="T74" i="37"/>
  <c r="R45" i="37"/>
  <c r="J83" i="37"/>
  <c r="R81" i="40"/>
  <c r="AF81" i="40" s="1"/>
  <c r="L75" i="37"/>
  <c r="AH104" i="39"/>
  <c r="AL103" i="39"/>
  <c r="AM96" i="39"/>
  <c r="AL65" i="39"/>
  <c r="AH76" i="39"/>
  <c r="AK86" i="39"/>
  <c r="AM57" i="39"/>
  <c r="AM98" i="39"/>
  <c r="AI44" i="39"/>
  <c r="AH96" i="39"/>
  <c r="S75" i="37"/>
  <c r="AH41" i="39"/>
  <c r="AH64" i="39"/>
  <c r="U55" i="37"/>
  <c r="R67" i="40"/>
  <c r="Y67" i="40" s="1"/>
  <c r="J68" i="37"/>
  <c r="R84" i="40"/>
  <c r="Y84" i="40" s="1"/>
  <c r="R62" i="40"/>
  <c r="AF62" i="40" s="1"/>
  <c r="R65" i="40"/>
  <c r="AF65" i="40" s="1"/>
  <c r="Q80" i="40"/>
  <c r="X80" i="40" s="1"/>
  <c r="Q83" i="40"/>
  <c r="AE83" i="40" s="1"/>
  <c r="AI101" i="39"/>
  <c r="AJ54" i="39"/>
  <c r="R82" i="40"/>
  <c r="AF82" i="40" s="1"/>
  <c r="R64" i="40"/>
  <c r="AF64" i="40" s="1"/>
  <c r="Q78" i="40"/>
  <c r="X78" i="40" s="1"/>
  <c r="AI47" i="39"/>
  <c r="AK56" i="39"/>
  <c r="Q81" i="40"/>
  <c r="X81" i="40" s="1"/>
  <c r="AL102" i="39"/>
  <c r="AM60" i="39"/>
  <c r="AM88" i="39"/>
  <c r="AI85" i="39"/>
  <c r="AJ60" i="39"/>
  <c r="AL73" i="39"/>
  <c r="AJ49" i="39"/>
  <c r="Q85" i="40"/>
  <c r="AE85" i="40" s="1"/>
  <c r="J90" i="37"/>
  <c r="AH46" i="39"/>
  <c r="AJ16" i="39"/>
  <c r="AK47" i="39"/>
  <c r="AM86" i="39"/>
  <c r="AI36" i="39"/>
  <c r="AJ58" i="39"/>
  <c r="R80" i="40"/>
  <c r="AF80" i="40" s="1"/>
  <c r="S63" i="40"/>
  <c r="AG63" i="40" s="1"/>
  <c r="Q82" i="40"/>
  <c r="X82" i="40" s="1"/>
  <c r="AM14" i="39"/>
  <c r="AH102" i="39"/>
  <c r="AH90" i="39"/>
  <c r="AM64" i="39"/>
  <c r="AI50" i="39"/>
  <c r="AM71" i="39"/>
  <c r="AM100" i="39"/>
  <c r="AM94" i="39"/>
  <c r="AJ20" i="39"/>
  <c r="AM58" i="39"/>
  <c r="AJ55" i="39"/>
  <c r="AH69" i="39"/>
  <c r="AL105" i="39"/>
  <c r="AL31" i="39"/>
  <c r="AH84" i="39"/>
  <c r="AI61" i="39"/>
  <c r="AH97" i="39"/>
  <c r="AJ46" i="39"/>
  <c r="S65" i="40"/>
  <c r="AG65" i="40" s="1"/>
  <c r="AI88" i="39"/>
  <c r="AH94" i="39"/>
  <c r="AK94" i="39"/>
  <c r="AI37" i="39"/>
  <c r="AL75" i="39"/>
  <c r="AJ79" i="39"/>
  <c r="AH48" i="39"/>
  <c r="AJ27" i="39"/>
  <c r="AL67" i="39"/>
  <c r="AL101" i="39"/>
  <c r="AH40" i="39"/>
  <c r="AL95" i="39"/>
  <c r="AH45" i="39"/>
  <c r="AI90" i="39"/>
  <c r="AI30" i="39"/>
  <c r="AM77" i="39"/>
  <c r="AL70" i="39"/>
  <c r="AI80" i="39"/>
  <c r="AK54" i="39"/>
  <c r="AM68" i="39"/>
  <c r="AJ57" i="39"/>
  <c r="AI104" i="39"/>
  <c r="AA99" i="36"/>
  <c r="V99" i="39" s="1"/>
  <c r="H99" i="39" s="1"/>
  <c r="AC99" i="39"/>
  <c r="AA94" i="36"/>
  <c r="V94" i="39" s="1"/>
  <c r="H94" i="39" s="1"/>
  <c r="AC94" i="39"/>
  <c r="Z89" i="36"/>
  <c r="U89" i="39" s="1"/>
  <c r="G89" i="39" s="1"/>
  <c r="AB89" i="39"/>
  <c r="AD61" i="36"/>
  <c r="Y61" i="39" s="1"/>
  <c r="K61" i="39" s="1"/>
  <c r="AF61" i="39"/>
  <c r="AB78" i="36"/>
  <c r="W78" i="39" s="1"/>
  <c r="I78" i="39" s="1"/>
  <c r="AD78" i="39"/>
  <c r="AA62" i="36"/>
  <c r="V62" i="39" s="1"/>
  <c r="H62" i="39" s="1"/>
  <c r="AC62" i="39"/>
  <c r="Z34" i="36"/>
  <c r="U34" i="39" s="1"/>
  <c r="G34" i="39" s="1"/>
  <c r="AB34" i="39"/>
  <c r="Z51" i="36"/>
  <c r="U51" i="39" s="1"/>
  <c r="AB51" i="39"/>
  <c r="AP51" i="39" s="1"/>
  <c r="AD101" i="36"/>
  <c r="Y101" i="39" s="1"/>
  <c r="K101" i="39" s="1"/>
  <c r="AF101" i="39"/>
  <c r="AV13" i="39"/>
  <c r="F13" i="39"/>
  <c r="AH13" i="39" s="1"/>
  <c r="T86" i="37"/>
  <c r="R85" i="40"/>
  <c r="Y85" i="40" s="1"/>
  <c r="S68" i="40"/>
  <c r="Z68" i="40" s="1"/>
  <c r="Q79" i="40"/>
  <c r="AE79" i="40" s="1"/>
  <c r="T74" i="40"/>
  <c r="AH74" i="40" s="1"/>
  <c r="Q90" i="37"/>
  <c r="AK13" i="39"/>
  <c r="AH38" i="39"/>
  <c r="AJ52" i="39"/>
  <c r="BA43" i="39"/>
  <c r="K43" i="39"/>
  <c r="Q78" i="37"/>
  <c r="T75" i="39"/>
  <c r="F75" i="39" s="1"/>
  <c r="AH75" i="39" s="1"/>
  <c r="Q46" i="37"/>
  <c r="T43" i="39"/>
  <c r="F43" i="39" s="1"/>
  <c r="AH43" i="39" s="1"/>
  <c r="AX23" i="39"/>
  <c r="H23" i="39"/>
  <c r="AJ23" i="39" s="1"/>
  <c r="J69" i="37"/>
  <c r="T66" i="39"/>
  <c r="F66" i="39" s="1"/>
  <c r="AH66" i="39" s="1"/>
  <c r="Q69" i="37"/>
  <c r="AV23" i="39"/>
  <c r="AH105" i="39"/>
  <c r="AY81" i="39"/>
  <c r="I81" i="39"/>
  <c r="AK81" i="39" s="1"/>
  <c r="AI60" i="39"/>
  <c r="AX32" i="39"/>
  <c r="H32" i="39"/>
  <c r="AJ32" i="39" s="1"/>
  <c r="AO91" i="39"/>
  <c r="AO82" i="39"/>
  <c r="AO54" i="39"/>
  <c r="AH54" i="39"/>
  <c r="AV54" i="39"/>
  <c r="AZ57" i="39"/>
  <c r="AS57" i="39"/>
  <c r="AL57" i="39"/>
  <c r="AW92" i="39"/>
  <c r="AP92" i="39"/>
  <c r="AZ66" i="39"/>
  <c r="AS66" i="39"/>
  <c r="AW97" i="39"/>
  <c r="AP97" i="39"/>
  <c r="AT39" i="39"/>
  <c r="AM39" i="39"/>
  <c r="BA39" i="39"/>
  <c r="AJ66" i="39"/>
  <c r="AQ66" i="39"/>
  <c r="AX66" i="39"/>
  <c r="AQ18" i="39"/>
  <c r="AX18" i="39"/>
  <c r="BA52" i="39"/>
  <c r="AT52" i="39"/>
  <c r="AS84" i="39"/>
  <c r="AL84" i="39"/>
  <c r="AZ84" i="39"/>
  <c r="AT97" i="39"/>
  <c r="BA97" i="39"/>
  <c r="AW39" i="39"/>
  <c r="AP39" i="39"/>
  <c r="AP67" i="39"/>
  <c r="AW67" i="39"/>
  <c r="AY73" i="39"/>
  <c r="AR73" i="39"/>
  <c r="AT16" i="39"/>
  <c r="AR88" i="39"/>
  <c r="AK88" i="39"/>
  <c r="AY88" i="39"/>
  <c r="AO47" i="39"/>
  <c r="BA66" i="39"/>
  <c r="AT66" i="39"/>
  <c r="AW64" i="39"/>
  <c r="AP64" i="39"/>
  <c r="AI64" i="39"/>
  <c r="AX89" i="39"/>
  <c r="AQ89" i="39"/>
  <c r="AJ89" i="39"/>
  <c r="AV44" i="39"/>
  <c r="AO44" i="39"/>
  <c r="AW81" i="39"/>
  <c r="AP81" i="39"/>
  <c r="AV29" i="39"/>
  <c r="BA64" i="39"/>
  <c r="AT64" i="39"/>
  <c r="AQ83" i="39"/>
  <c r="AX83" i="39"/>
  <c r="AJ83" i="39"/>
  <c r="AR96" i="39"/>
  <c r="AY96" i="39"/>
  <c r="AK96" i="39"/>
  <c r="AK36" i="39"/>
  <c r="AR36" i="39"/>
  <c r="AY36" i="39"/>
  <c r="AP50" i="39"/>
  <c r="AW50" i="39"/>
  <c r="AM81" i="39"/>
  <c r="BA81" i="39"/>
  <c r="AT81" i="39"/>
  <c r="BA71" i="39"/>
  <c r="AT71" i="39"/>
  <c r="AP75" i="39"/>
  <c r="AW75" i="39"/>
  <c r="AI75" i="39"/>
  <c r="BA100" i="39"/>
  <c r="AT100" i="39"/>
  <c r="BA94" i="39"/>
  <c r="AT94" i="39"/>
  <c r="AY66" i="39"/>
  <c r="AR66" i="39"/>
  <c r="AK66" i="39"/>
  <c r="BA46" i="39"/>
  <c r="AM46" i="39"/>
  <c r="AT46" i="39"/>
  <c r="AQ20" i="39"/>
  <c r="AX20" i="39"/>
  <c r="AO71" i="39"/>
  <c r="AV34" i="39"/>
  <c r="AK45" i="39"/>
  <c r="AL98" i="39"/>
  <c r="AJ53" i="39"/>
  <c r="AR94" i="39"/>
  <c r="AY94" i="39"/>
  <c r="AP37" i="39"/>
  <c r="AW37" i="39"/>
  <c r="AZ75" i="39"/>
  <c r="AS75" i="39"/>
  <c r="AJ14" i="39"/>
  <c r="AQ14" i="39"/>
  <c r="AX14" i="39"/>
  <c r="AX79" i="39"/>
  <c r="AQ79" i="39"/>
  <c r="AV48" i="39"/>
  <c r="AO48" i="39"/>
  <c r="AQ27" i="39"/>
  <c r="AX27" i="39"/>
  <c r="AZ67" i="39"/>
  <c r="AS67" i="39"/>
  <c r="AO51" i="39"/>
  <c r="AO55" i="39"/>
  <c r="BA34" i="39"/>
  <c r="K34" i="39"/>
  <c r="AM34" i="39" s="1"/>
  <c r="AI68" i="39"/>
  <c r="AL74" i="39"/>
  <c r="AV28" i="39"/>
  <c r="AL99" i="39"/>
  <c r="AI78" i="39"/>
  <c r="AL36" i="39"/>
  <c r="AK19" i="39"/>
  <c r="AI31" i="39"/>
  <c r="AM56" i="39"/>
  <c r="Q101" i="37"/>
  <c r="T98" i="39"/>
  <c r="F98" i="39" s="1"/>
  <c r="AH98" i="39" s="1"/>
  <c r="AK69" i="39"/>
  <c r="BA47" i="39"/>
  <c r="K47" i="39"/>
  <c r="AM47" i="39" s="1"/>
  <c r="AH85" i="39"/>
  <c r="AT60" i="39"/>
  <c r="BA60" i="39"/>
  <c r="AJ75" i="39"/>
  <c r="AQ75" i="39"/>
  <c r="AX75" i="39"/>
  <c r="BA22" i="39"/>
  <c r="AT22" i="39"/>
  <c r="AM22" i="39"/>
  <c r="BA88" i="39"/>
  <c r="AT88" i="39"/>
  <c r="AW85" i="39"/>
  <c r="AP85" i="39"/>
  <c r="AO39" i="39"/>
  <c r="AQ60" i="39"/>
  <c r="AX60" i="39"/>
  <c r="AZ73" i="39"/>
  <c r="AS73" i="39"/>
  <c r="AS94" i="39"/>
  <c r="AL94" i="39"/>
  <c r="AZ94" i="39"/>
  <c r="AQ49" i="39"/>
  <c r="AX49" i="39"/>
  <c r="AK74" i="39"/>
  <c r="AR74" i="39"/>
  <c r="AY74" i="39"/>
  <c r="AS95" i="39"/>
  <c r="AZ95" i="39"/>
  <c r="AV45" i="39"/>
  <c r="AO45" i="39"/>
  <c r="AW90" i="39"/>
  <c r="AP90" i="39"/>
  <c r="AW30" i="39"/>
  <c r="AP30" i="39"/>
  <c r="AZ56" i="39"/>
  <c r="AS56" i="39"/>
  <c r="AL56" i="39"/>
  <c r="BA77" i="39"/>
  <c r="AT77" i="39"/>
  <c r="AM13" i="39"/>
  <c r="BA13" i="39"/>
  <c r="AT13" i="39"/>
  <c r="AZ70" i="39"/>
  <c r="AS70" i="39"/>
  <c r="AV33" i="39"/>
  <c r="AR51" i="39"/>
  <c r="AY51" i="39"/>
  <c r="AT82" i="39"/>
  <c r="BA59" i="39"/>
  <c r="AT59" i="39"/>
  <c r="AS81" i="39"/>
  <c r="AD80" i="36"/>
  <c r="Y80" i="39" s="1"/>
  <c r="K80" i="39" s="1"/>
  <c r="AF80" i="39"/>
  <c r="AD99" i="36"/>
  <c r="Y99" i="39" s="1"/>
  <c r="K99" i="39" s="1"/>
  <c r="AF99" i="39"/>
  <c r="AB28" i="36"/>
  <c r="W28" i="39" s="1"/>
  <c r="I28" i="39" s="1"/>
  <c r="AD28" i="39"/>
  <c r="AC83" i="36"/>
  <c r="X83" i="39" s="1"/>
  <c r="J83" i="39" s="1"/>
  <c r="AE83" i="39"/>
  <c r="AD44" i="36"/>
  <c r="Y44" i="39" s="1"/>
  <c r="AF44" i="39"/>
  <c r="AD67" i="36"/>
  <c r="Y67" i="39" s="1"/>
  <c r="K67" i="39" s="1"/>
  <c r="AF67" i="39"/>
  <c r="AC51" i="36"/>
  <c r="X51" i="39" s="1"/>
  <c r="J51" i="39" s="1"/>
  <c r="AE51" i="39"/>
  <c r="AB23" i="36"/>
  <c r="W23" i="39" s="1"/>
  <c r="I23" i="39" s="1"/>
  <c r="AD23" i="39"/>
  <c r="AB40" i="36"/>
  <c r="W40" i="39" s="1"/>
  <c r="I40" i="39" s="1"/>
  <c r="AD40" i="39"/>
  <c r="Z43" i="36"/>
  <c r="U43" i="39" s="1"/>
  <c r="G43" i="39" s="1"/>
  <c r="AB43" i="39"/>
  <c r="AQ15" i="39"/>
  <c r="AX15" i="39"/>
  <c r="AQ72" i="39"/>
  <c r="AX72" i="39"/>
  <c r="AJ72" i="39"/>
  <c r="AQ104" i="39"/>
  <c r="AX104" i="39"/>
  <c r="AJ104" i="39"/>
  <c r="AY71" i="39"/>
  <c r="AR71" i="39"/>
  <c r="AP42" i="39"/>
  <c r="AW42" i="39"/>
  <c r="BA91" i="39"/>
  <c r="AT91" i="39"/>
  <c r="AS71" i="39"/>
  <c r="AZ71" i="39"/>
  <c r="AZ19" i="39"/>
  <c r="AL19" i="39"/>
  <c r="AS19" i="39"/>
  <c r="AS93" i="39"/>
  <c r="AV18" i="39"/>
  <c r="AY53" i="39"/>
  <c r="AR53" i="39"/>
  <c r="AW32" i="39"/>
  <c r="AP32" i="39"/>
  <c r="AJ101" i="39"/>
  <c r="AQ101" i="39"/>
  <c r="AX101" i="39"/>
  <c r="AW73" i="39"/>
  <c r="AP73" i="39"/>
  <c r="AI73" i="39"/>
  <c r="AW41" i="39"/>
  <c r="AP41" i="39"/>
  <c r="AV100" i="39"/>
  <c r="AO100" i="39"/>
  <c r="AR76" i="39"/>
  <c r="AK76" i="39"/>
  <c r="AY76" i="39"/>
  <c r="AZ28" i="39"/>
  <c r="AS28" i="39"/>
  <c r="AL28" i="39"/>
  <c r="J94" i="37"/>
  <c r="T91" i="39"/>
  <c r="F91" i="39" s="1"/>
  <c r="AH91" i="39" s="1"/>
  <c r="Q85" i="37"/>
  <c r="T82" i="39"/>
  <c r="F82" i="39" s="1"/>
  <c r="AH82" i="39" s="1"/>
  <c r="BA16" i="39"/>
  <c r="K16" i="39"/>
  <c r="AM16" i="39" s="1"/>
  <c r="BA55" i="39"/>
  <c r="K55" i="39"/>
  <c r="AM55" i="39" s="1"/>
  <c r="J50" i="37"/>
  <c r="T47" i="39"/>
  <c r="F47" i="39" s="1"/>
  <c r="AH47" i="39" s="1"/>
  <c r="AV30" i="39"/>
  <c r="AY26" i="39"/>
  <c r="I26" i="39"/>
  <c r="AK26" i="39" s="1"/>
  <c r="AZ63" i="39"/>
  <c r="J63" i="39"/>
  <c r="AL63" i="39" s="1"/>
  <c r="J74" i="37"/>
  <c r="T71" i="39"/>
  <c r="F71" i="39" s="1"/>
  <c r="AH71" i="39" s="1"/>
  <c r="AV22" i="39"/>
  <c r="AZ33" i="39"/>
  <c r="AS33" i="39"/>
  <c r="AJ68" i="39"/>
  <c r="AQ68" i="39"/>
  <c r="AX68" i="39"/>
  <c r="AV88" i="39"/>
  <c r="AO88" i="39"/>
  <c r="T51" i="39"/>
  <c r="F51" i="39" s="1"/>
  <c r="AH51" i="39" s="1"/>
  <c r="J54" i="37"/>
  <c r="Q54" i="37"/>
  <c r="J58" i="37"/>
  <c r="T55" i="39"/>
  <c r="F55" i="39" s="1"/>
  <c r="AH55" i="39" s="1"/>
  <c r="AV26" i="39"/>
  <c r="AZ37" i="39"/>
  <c r="AS37" i="39"/>
  <c r="AL37" i="39"/>
  <c r="AW36" i="39"/>
  <c r="AP36" i="39"/>
  <c r="AZ62" i="39"/>
  <c r="AS62" i="39"/>
  <c r="AL62" i="39"/>
  <c r="AW105" i="39"/>
  <c r="AP105" i="39"/>
  <c r="AX86" i="39"/>
  <c r="AQ86" i="39"/>
  <c r="AJ86" i="39"/>
  <c r="AV37" i="39"/>
  <c r="AO37" i="39"/>
  <c r="AP62" i="39"/>
  <c r="AZ96" i="39"/>
  <c r="AS96" i="39"/>
  <c r="BA105" i="39"/>
  <c r="AT105" i="39"/>
  <c r="AM105" i="39"/>
  <c r="AK48" i="39"/>
  <c r="AY48" i="39"/>
  <c r="AR48" i="39"/>
  <c r="AX59" i="39"/>
  <c r="AQ59" i="39"/>
  <c r="AQ71" i="39"/>
  <c r="AX71" i="39"/>
  <c r="AJ71" i="39"/>
  <c r="AR70" i="39"/>
  <c r="AY70" i="39"/>
  <c r="AZ24" i="39"/>
  <c r="AL24" i="39"/>
  <c r="AS24" i="39"/>
  <c r="AX56" i="39"/>
  <c r="AQ56" i="39"/>
  <c r="AT102" i="39"/>
  <c r="BA102" i="39"/>
  <c r="AM102" i="39"/>
  <c r="AY105" i="39"/>
  <c r="AR105" i="39"/>
  <c r="AK105" i="39"/>
  <c r="AW24" i="39"/>
  <c r="AP24" i="39"/>
  <c r="AI24" i="39"/>
  <c r="AX61" i="39"/>
  <c r="AQ61" i="39"/>
  <c r="AT103" i="39"/>
  <c r="BA103" i="39"/>
  <c r="AM103" i="39"/>
  <c r="AW33" i="39"/>
  <c r="AP33" i="39"/>
  <c r="AO73" i="39"/>
  <c r="AV73" i="39"/>
  <c r="J42" i="37"/>
  <c r="T39" i="39"/>
  <c r="F39" i="39" s="1"/>
  <c r="AH39" i="39" s="1"/>
  <c r="AQ55" i="39"/>
  <c r="AX55" i="39"/>
  <c r="AV21" i="39"/>
  <c r="O85" i="37"/>
  <c r="Y82" i="39"/>
  <c r="K82" i="39" s="1"/>
  <c r="AM82" i="39" s="1"/>
  <c r="U84" i="37"/>
  <c r="X81" i="39"/>
  <c r="J81" i="39" s="1"/>
  <c r="AL81" i="39" s="1"/>
  <c r="AV32" i="39"/>
  <c r="Z19" i="36"/>
  <c r="U19" i="39" s="1"/>
  <c r="G19" i="39" s="1"/>
  <c r="AB19" i="39"/>
  <c r="AJ15" i="39"/>
  <c r="AK71" i="39"/>
  <c r="AI42" i="39"/>
  <c r="AM91" i="39"/>
  <c r="AL71" i="39"/>
  <c r="AX39" i="39"/>
  <c r="H39" i="39"/>
  <c r="AJ39" i="39" s="1"/>
  <c r="U96" i="37"/>
  <c r="X93" i="39"/>
  <c r="J93" i="39" s="1"/>
  <c r="AL93" i="39" s="1"/>
  <c r="AV46" i="39"/>
  <c r="AO46" i="39"/>
  <c r="AK53" i="39"/>
  <c r="AI32" i="39"/>
  <c r="AI41" i="39"/>
  <c r="AH100" i="39"/>
  <c r="AX48" i="39"/>
  <c r="H48" i="39"/>
  <c r="AJ48" i="39" s="1"/>
  <c r="AT14" i="39"/>
  <c r="BA14" i="39"/>
  <c r="AV102" i="39"/>
  <c r="AO102" i="39"/>
  <c r="AO90" i="39"/>
  <c r="AV90" i="39"/>
  <c r="AY89" i="39"/>
  <c r="AR89" i="39"/>
  <c r="AK89" i="39"/>
  <c r="AO104" i="39"/>
  <c r="AV104" i="39"/>
  <c r="AH56" i="39"/>
  <c r="AO56" i="39"/>
  <c r="AV56" i="39"/>
  <c r="BA83" i="39"/>
  <c r="AM83" i="39"/>
  <c r="AT83" i="39"/>
  <c r="AZ103" i="39"/>
  <c r="AS103" i="39"/>
  <c r="AO53" i="39"/>
  <c r="AH53" i="39"/>
  <c r="AV53" i="39"/>
  <c r="BA96" i="39"/>
  <c r="AT96" i="39"/>
  <c r="BA40" i="39"/>
  <c r="AT40" i="39"/>
  <c r="AM40" i="39"/>
  <c r="AQ67" i="39"/>
  <c r="AJ67" i="39"/>
  <c r="AX67" i="39"/>
  <c r="AM85" i="39"/>
  <c r="BA85" i="39"/>
  <c r="AT85" i="39"/>
  <c r="AY52" i="39"/>
  <c r="AK52" i="39"/>
  <c r="AR52" i="39"/>
  <c r="AW101" i="39"/>
  <c r="AP101" i="39"/>
  <c r="AK100" i="39"/>
  <c r="AR100" i="39"/>
  <c r="AY100" i="39"/>
  <c r="AQ54" i="39"/>
  <c r="AX54" i="39"/>
  <c r="AQ103" i="39"/>
  <c r="AJ103" i="39"/>
  <c r="AX103" i="39"/>
  <c r="AS14" i="39"/>
  <c r="AZ14" i="39"/>
  <c r="AL14" i="39"/>
  <c r="AR25" i="39"/>
  <c r="AY25" i="39"/>
  <c r="AR29" i="39"/>
  <c r="AY29" i="39"/>
  <c r="AW84" i="39"/>
  <c r="AP84" i="39"/>
  <c r="AX77" i="39"/>
  <c r="AJ77" i="39"/>
  <c r="AQ77" i="39"/>
  <c r="AS30" i="39"/>
  <c r="AZ30" i="39"/>
  <c r="AQ102" i="39"/>
  <c r="AJ102" i="39"/>
  <c r="AX102" i="39"/>
  <c r="AV17" i="39"/>
  <c r="AY39" i="39"/>
  <c r="AR39" i="39"/>
  <c r="AK39" i="39"/>
  <c r="AZ64" i="39"/>
  <c r="AS64" i="39"/>
  <c r="AM21" i="39"/>
  <c r="BA21" i="39"/>
  <c r="AT21" i="39"/>
  <c r="AW22" i="39"/>
  <c r="AP22" i="39"/>
  <c r="AI22" i="39"/>
  <c r="AV93" i="39"/>
  <c r="AO93" i="39"/>
  <c r="AZ17" i="39"/>
  <c r="AS17" i="39"/>
  <c r="AL17" i="39"/>
  <c r="AS68" i="39"/>
  <c r="AZ68" i="39"/>
  <c r="AR82" i="39"/>
  <c r="AV62" i="39"/>
  <c r="AO62" i="39"/>
  <c r="AH62" i="39"/>
  <c r="AS49" i="39"/>
  <c r="AX41" i="39"/>
  <c r="H41" i="39"/>
  <c r="AJ41" i="39" s="1"/>
  <c r="AT79" i="39"/>
  <c r="BA79" i="39"/>
  <c r="AM23" i="39"/>
  <c r="AT23" i="39"/>
  <c r="BA23" i="39"/>
  <c r="AV61" i="39"/>
  <c r="AO61" i="39"/>
  <c r="AP94" i="39"/>
  <c r="AW94" i="39"/>
  <c r="AI94" i="39"/>
  <c r="AP95" i="39"/>
  <c r="AW95" i="39"/>
  <c r="AY30" i="39"/>
  <c r="AR30" i="39"/>
  <c r="AW27" i="39"/>
  <c r="AP27" i="39"/>
  <c r="AI27" i="39"/>
  <c r="AI54" i="39"/>
  <c r="AW54" i="39"/>
  <c r="AP54" i="39"/>
  <c r="AX36" i="39"/>
  <c r="AQ36" i="39"/>
  <c r="AW49" i="39"/>
  <c r="G49" i="39"/>
  <c r="AI49" i="39" s="1"/>
  <c r="AW62" i="39"/>
  <c r="G62" i="39"/>
  <c r="AI62" i="39" s="1"/>
  <c r="BA50" i="39"/>
  <c r="K50" i="39"/>
  <c r="AM50" i="39" s="1"/>
  <c r="AI33" i="39"/>
  <c r="AH73" i="39"/>
  <c r="BA104" i="39"/>
  <c r="AT104" i="39"/>
  <c r="AM104" i="39"/>
  <c r="AY47" i="39"/>
  <c r="AR47" i="39"/>
  <c r="AS32" i="39"/>
  <c r="AZ32" i="39"/>
  <c r="AL58" i="39"/>
  <c r="AZ58" i="39"/>
  <c r="AS58" i="39"/>
  <c r="AS88" i="39"/>
  <c r="AZ88" i="39"/>
  <c r="AR14" i="39"/>
  <c r="AY14" i="39"/>
  <c r="AV42" i="39"/>
  <c r="AO42" i="39"/>
  <c r="BA74" i="39"/>
  <c r="AT74" i="39"/>
  <c r="AS82" i="39"/>
  <c r="AZ82" i="39"/>
  <c r="AL82" i="39"/>
  <c r="AW45" i="39"/>
  <c r="AP45" i="39"/>
  <c r="AJ82" i="39"/>
  <c r="AQ82" i="39"/>
  <c r="AX82" i="39"/>
  <c r="BA72" i="39"/>
  <c r="AT72" i="39"/>
  <c r="AW18" i="39"/>
  <c r="AP18" i="39"/>
  <c r="AP59" i="39"/>
  <c r="AW59" i="39"/>
  <c r="AY41" i="39"/>
  <c r="AR41" i="39"/>
  <c r="AK41" i="39"/>
  <c r="AV24" i="39"/>
  <c r="AO95" i="39"/>
  <c r="AR77" i="39"/>
  <c r="AY77" i="39"/>
  <c r="AM27" i="39"/>
  <c r="BA27" i="39"/>
  <c r="AT27" i="39"/>
  <c r="AX92" i="39"/>
  <c r="AQ92" i="39"/>
  <c r="AJ92" i="39"/>
  <c r="AZ35" i="39"/>
  <c r="AS35" i="39"/>
  <c r="AB87" i="36"/>
  <c r="W87" i="39" s="1"/>
  <c r="I87" i="39" s="1"/>
  <c r="AD87" i="39"/>
  <c r="AC48" i="36"/>
  <c r="X48" i="39" s="1"/>
  <c r="AE48" i="39"/>
  <c r="AS48" i="39" s="1"/>
  <c r="Z38" i="36"/>
  <c r="U38" i="39" s="1"/>
  <c r="G38" i="39" s="1"/>
  <c r="AB38" i="39"/>
  <c r="AO74" i="39"/>
  <c r="AV86" i="39"/>
  <c r="AO86" i="39"/>
  <c r="AY44" i="39"/>
  <c r="AR44" i="39"/>
  <c r="BA41" i="39"/>
  <c r="AT41" i="39"/>
  <c r="AW87" i="39"/>
  <c r="AP87" i="39"/>
  <c r="AY67" i="39"/>
  <c r="AR67" i="39"/>
  <c r="AK67" i="39"/>
  <c r="AS13" i="39"/>
  <c r="AZ13" i="39"/>
  <c r="AO70" i="39"/>
  <c r="AV70" i="39"/>
  <c r="AW16" i="39"/>
  <c r="AP16" i="39"/>
  <c r="AI16" i="39"/>
  <c r="AW86" i="39"/>
  <c r="AP86" i="39"/>
  <c r="AS97" i="39"/>
  <c r="AZ97" i="39"/>
  <c r="AZ69" i="39"/>
  <c r="AS69" i="39"/>
  <c r="AJ96" i="39"/>
  <c r="AQ96" i="39"/>
  <c r="AX96" i="39"/>
  <c r="AV68" i="39"/>
  <c r="AO68" i="39"/>
  <c r="AZ44" i="39"/>
  <c r="AS44" i="39"/>
  <c r="AV20" i="39"/>
  <c r="AY24" i="39"/>
  <c r="I24" i="39"/>
  <c r="AK24" i="39" s="1"/>
  <c r="AK25" i="39"/>
  <c r="AK29" i="39"/>
  <c r="AI84" i="39"/>
  <c r="AL30" i="39"/>
  <c r="AW65" i="39"/>
  <c r="G65" i="39"/>
  <c r="AI65" i="39" s="1"/>
  <c r="AX50" i="39"/>
  <c r="H50" i="39"/>
  <c r="AJ50" i="39" s="1"/>
  <c r="AL64" i="39"/>
  <c r="AY84" i="39"/>
  <c r="I84" i="39"/>
  <c r="AK84" i="39" s="1"/>
  <c r="AY20" i="39"/>
  <c r="I20" i="39"/>
  <c r="AK20" i="39" s="1"/>
  <c r="AH93" i="39"/>
  <c r="AL68" i="39"/>
  <c r="AY82" i="39"/>
  <c r="I82" i="39"/>
  <c r="AK82" i="39" s="1"/>
  <c r="BA30" i="39"/>
  <c r="K30" i="39"/>
  <c r="AM30" i="39" s="1"/>
  <c r="AV14" i="39"/>
  <c r="N52" i="37"/>
  <c r="X49" i="39"/>
  <c r="J49" i="39" s="1"/>
  <c r="AL49" i="39" s="1"/>
  <c r="AH58" i="39"/>
  <c r="AV58" i="39"/>
  <c r="AO58" i="39"/>
  <c r="AS65" i="39"/>
  <c r="AZ65" i="39"/>
  <c r="AJ88" i="39"/>
  <c r="AX88" i="39"/>
  <c r="AQ88" i="39"/>
  <c r="AV76" i="39"/>
  <c r="AO76" i="39"/>
  <c r="AM79" i="39"/>
  <c r="AH61" i="39"/>
  <c r="AI95" i="39"/>
  <c r="AK30" i="39"/>
  <c r="AJ36" i="39"/>
  <c r="BA58" i="39"/>
  <c r="AT58" i="39"/>
  <c r="AY65" i="39"/>
  <c r="AR65" i="39"/>
  <c r="AK65" i="39"/>
  <c r="AJ97" i="39"/>
  <c r="AQ97" i="39"/>
  <c r="AX97" i="39"/>
  <c r="AO52" i="39"/>
  <c r="AH52" i="39"/>
  <c r="AV52" i="39"/>
  <c r="AQ74" i="39"/>
  <c r="AJ74" i="39"/>
  <c r="AX74" i="39"/>
  <c r="AQ26" i="39"/>
  <c r="AX26" i="39"/>
  <c r="AS76" i="39"/>
  <c r="AZ76" i="39"/>
  <c r="AY104" i="39"/>
  <c r="AK104" i="39"/>
  <c r="AR104" i="39"/>
  <c r="AY86" i="39"/>
  <c r="AR86" i="39"/>
  <c r="AT57" i="39"/>
  <c r="BA57" i="39"/>
  <c r="AZ91" i="39"/>
  <c r="AS91" i="39"/>
  <c r="AL91" i="39"/>
  <c r="AS61" i="39"/>
  <c r="AR85" i="39"/>
  <c r="AT98" i="39"/>
  <c r="BA98" i="39"/>
  <c r="AW44" i="39"/>
  <c r="AP44" i="39"/>
  <c r="AV96" i="39"/>
  <c r="AO96" i="39"/>
  <c r="AZ50" i="39"/>
  <c r="AL50" i="39"/>
  <c r="AS50" i="39"/>
  <c r="AW21" i="39"/>
  <c r="AP21" i="39"/>
  <c r="AI21" i="39"/>
  <c r="AQ58" i="39"/>
  <c r="AX58" i="39"/>
  <c r="AL32" i="39"/>
  <c r="AL88" i="39"/>
  <c r="AX42" i="39"/>
  <c r="H42" i="39"/>
  <c r="AJ42" i="39" s="1"/>
  <c r="AK14" i="39"/>
  <c r="AH42" i="39"/>
  <c r="AM74" i="39"/>
  <c r="AX25" i="39"/>
  <c r="H25" i="39"/>
  <c r="AJ25" i="39" s="1"/>
  <c r="AI45" i="39"/>
  <c r="AX34" i="39"/>
  <c r="H34" i="39"/>
  <c r="AJ34" i="39" s="1"/>
  <c r="AM72" i="39"/>
  <c r="AI18" i="39"/>
  <c r="AX31" i="39"/>
  <c r="H31" i="39"/>
  <c r="AJ31" i="39" s="1"/>
  <c r="AI59" i="39"/>
  <c r="AP80" i="39"/>
  <c r="AW80" i="39"/>
  <c r="J98" i="37"/>
  <c r="T95" i="39"/>
  <c r="F95" i="39" s="1"/>
  <c r="AH95" i="39" s="1"/>
  <c r="AK77" i="39"/>
  <c r="AL35" i="39"/>
  <c r="AB46" i="36"/>
  <c r="W46" i="39" s="1"/>
  <c r="I46" i="39" s="1"/>
  <c r="AD46" i="39"/>
  <c r="AA35" i="36"/>
  <c r="V35" i="39" s="1"/>
  <c r="AC35" i="39"/>
  <c r="AQ35" i="39" s="1"/>
  <c r="Q77" i="37"/>
  <c r="T74" i="39"/>
  <c r="F74" i="39" s="1"/>
  <c r="AH74" i="39" s="1"/>
  <c r="AX93" i="39"/>
  <c r="H93" i="39"/>
  <c r="AJ93" i="39" s="1"/>
  <c r="AK44" i="39"/>
  <c r="AM41" i="39"/>
  <c r="AI87" i="39"/>
  <c r="AY35" i="39"/>
  <c r="I35" i="39"/>
  <c r="AK35" i="39" s="1"/>
  <c r="AL13" i="39"/>
  <c r="AH70" i="39"/>
  <c r="BA86" i="39"/>
  <c r="AT86" i="39"/>
  <c r="AI86" i="39"/>
  <c r="AL97" i="39"/>
  <c r="AL69" i="39"/>
  <c r="BA33" i="39"/>
  <c r="K33" i="39"/>
  <c r="AM33" i="39" s="1"/>
  <c r="AH68" i="39"/>
  <c r="AL44" i="39"/>
  <c r="AO83" i="39"/>
  <c r="AW88" i="39"/>
  <c r="AP88" i="39"/>
  <c r="AR93" i="39"/>
  <c r="AK93" i="39"/>
  <c r="AY93" i="39"/>
  <c r="AL90" i="39"/>
  <c r="AS90" i="39"/>
  <c r="AZ90" i="39"/>
  <c r="AX45" i="39"/>
  <c r="AQ45" i="39"/>
  <c r="AP69" i="39"/>
  <c r="AW69" i="39"/>
  <c r="AI69" i="39"/>
  <c r="AX90" i="39"/>
  <c r="AQ90" i="39"/>
  <c r="AJ90" i="39"/>
  <c r="AV41" i="39"/>
  <c r="AO41" i="39"/>
  <c r="AM84" i="39"/>
  <c r="BA84" i="39"/>
  <c r="AT84" i="39"/>
  <c r="AW26" i="39"/>
  <c r="AP26" i="39"/>
  <c r="BA69" i="39"/>
  <c r="AM69" i="39"/>
  <c r="AT69" i="39"/>
  <c r="AQ63" i="39"/>
  <c r="AX63" i="39"/>
  <c r="AK60" i="39"/>
  <c r="AR60" i="39"/>
  <c r="AY60" i="39"/>
  <c r="AV81" i="39"/>
  <c r="AO81" i="39"/>
  <c r="AW52" i="39"/>
  <c r="AP52" i="39"/>
  <c r="AI52" i="39"/>
  <c r="AW70" i="39"/>
  <c r="AP70" i="39"/>
  <c r="AI70" i="39"/>
  <c r="AW13" i="39"/>
  <c r="AI13" i="39"/>
  <c r="AP13" i="39"/>
  <c r="AY57" i="39"/>
  <c r="AR57" i="39"/>
  <c r="BA70" i="39"/>
  <c r="AT70" i="39"/>
  <c r="AQ65" i="39"/>
  <c r="AX65" i="39"/>
  <c r="AJ65" i="39"/>
  <c r="AW53" i="39"/>
  <c r="AP53" i="39"/>
  <c r="AO89" i="39"/>
  <c r="AV89" i="39"/>
  <c r="AZ39" i="39"/>
  <c r="AL39" i="39"/>
  <c r="AS39" i="39"/>
  <c r="AY95" i="39"/>
  <c r="AR95" i="39"/>
  <c r="AK95" i="39"/>
  <c r="AT24" i="39"/>
  <c r="BA24" i="39"/>
  <c r="AM24" i="39"/>
  <c r="AY68" i="39"/>
  <c r="AR68" i="39"/>
  <c r="AK68" i="39"/>
  <c r="AV49" i="39"/>
  <c r="AO49" i="39"/>
  <c r="AH49" i="39"/>
  <c r="AZ100" i="39"/>
  <c r="AS100" i="39"/>
  <c r="AQ22" i="39"/>
  <c r="AX22" i="39"/>
  <c r="AM25" i="39"/>
  <c r="AT25" i="39"/>
  <c r="BA25" i="39"/>
  <c r="AV78" i="39"/>
  <c r="AO78" i="39"/>
  <c r="AW58" i="39"/>
  <c r="AP58" i="39"/>
  <c r="AX13" i="39"/>
  <c r="AJ13" i="39"/>
  <c r="AQ13" i="39"/>
  <c r="AQ24" i="39"/>
  <c r="AX24" i="39"/>
  <c r="AX29" i="39"/>
  <c r="H29" i="39"/>
  <c r="AJ29" i="39" s="1"/>
  <c r="AV101" i="39"/>
  <c r="AO101" i="39"/>
  <c r="AX38" i="39"/>
  <c r="AQ38" i="39"/>
  <c r="AW35" i="39"/>
  <c r="AP35" i="39"/>
  <c r="AZ43" i="39"/>
  <c r="AL43" i="39"/>
  <c r="AS43" i="39"/>
  <c r="AS89" i="39"/>
  <c r="AZ89" i="39"/>
  <c r="AW99" i="39"/>
  <c r="AP99" i="39"/>
  <c r="AW93" i="39"/>
  <c r="G93" i="39"/>
  <c r="AI93" i="39" s="1"/>
  <c r="AY34" i="39"/>
  <c r="I34" i="39"/>
  <c r="AK34" i="39" s="1"/>
  <c r="BA48" i="39"/>
  <c r="K48" i="39"/>
  <c r="AM48" i="39" s="1"/>
  <c r="BA93" i="39"/>
  <c r="K93" i="39"/>
  <c r="AM93" i="39" s="1"/>
  <c r="AY32" i="39"/>
  <c r="I32" i="39"/>
  <c r="AK32" i="39" s="1"/>
  <c r="X61" i="39"/>
  <c r="J61" i="39" s="1"/>
  <c r="AL61" i="39" s="1"/>
  <c r="U64" i="37"/>
  <c r="N64" i="37"/>
  <c r="AY85" i="39"/>
  <c r="I85" i="39"/>
  <c r="AK85" i="39" s="1"/>
  <c r="AY90" i="39"/>
  <c r="I90" i="39"/>
  <c r="AK90" i="39" s="1"/>
  <c r="AY91" i="39"/>
  <c r="AR91" i="39"/>
  <c r="AK91" i="39"/>
  <c r="AR92" i="39"/>
  <c r="AY92" i="39"/>
  <c r="AY58" i="39"/>
  <c r="AR58" i="39"/>
  <c r="AK58" i="39"/>
  <c r="BA89" i="39"/>
  <c r="AT89" i="39"/>
  <c r="AY27" i="39"/>
  <c r="AR27" i="39"/>
  <c r="AZ15" i="39"/>
  <c r="AS15" i="39"/>
  <c r="BA78" i="39"/>
  <c r="AT78" i="39"/>
  <c r="AP100" i="39"/>
  <c r="AW100" i="39"/>
  <c r="AH72" i="39"/>
  <c r="AV72" i="39"/>
  <c r="AO72" i="39"/>
  <c r="AY102" i="39"/>
  <c r="AK102" i="39"/>
  <c r="AR102" i="39"/>
  <c r="AQ70" i="39"/>
  <c r="AX70" i="39"/>
  <c r="AJ70" i="39"/>
  <c r="AZ23" i="39"/>
  <c r="AL23" i="39"/>
  <c r="AS23" i="39"/>
  <c r="AY59" i="39"/>
  <c r="AK59" i="39"/>
  <c r="AR59" i="39"/>
  <c r="AP103" i="39"/>
  <c r="AW103" i="39"/>
  <c r="BA45" i="39"/>
  <c r="AM45" i="39"/>
  <c r="AT45" i="39"/>
  <c r="AX80" i="39"/>
  <c r="AJ80" i="39"/>
  <c r="AQ80" i="39"/>
  <c r="BA73" i="39"/>
  <c r="AT73" i="39"/>
  <c r="AR97" i="39"/>
  <c r="AY97" i="39"/>
  <c r="AK97" i="39"/>
  <c r="AX28" i="39"/>
  <c r="AQ28" i="39"/>
  <c r="AX37" i="39"/>
  <c r="AQ37" i="39"/>
  <c r="AP56" i="39"/>
  <c r="AI56" i="39"/>
  <c r="AW56" i="39"/>
  <c r="AK61" i="39"/>
  <c r="AY61" i="39"/>
  <c r="AR61" i="39"/>
  <c r="AA51" i="36"/>
  <c r="V51" i="39" s="1"/>
  <c r="H51" i="39" s="1"/>
  <c r="AC51" i="39"/>
  <c r="AC42" i="36"/>
  <c r="X42" i="39" s="1"/>
  <c r="J42" i="39" s="1"/>
  <c r="AE42" i="39"/>
  <c r="AD35" i="36"/>
  <c r="Y35" i="39" s="1"/>
  <c r="K35" i="39" s="1"/>
  <c r="AF35" i="39"/>
  <c r="AD76" i="36"/>
  <c r="Y76" i="39" s="1"/>
  <c r="K76" i="39" s="1"/>
  <c r="AF76" i="39"/>
  <c r="Z71" i="36"/>
  <c r="U71" i="39" s="1"/>
  <c r="G71" i="39" s="1"/>
  <c r="AB71" i="39"/>
  <c r="AD65" i="36"/>
  <c r="Y65" i="39" s="1"/>
  <c r="K65" i="39" s="1"/>
  <c r="AF65" i="39"/>
  <c r="AA21" i="36"/>
  <c r="V21" i="39" s="1"/>
  <c r="AC21" i="39"/>
  <c r="AQ21" i="39" s="1"/>
  <c r="Z25" i="36"/>
  <c r="U25" i="39" s="1"/>
  <c r="G25" i="39" s="1"/>
  <c r="AB25" i="39"/>
  <c r="Z66" i="36"/>
  <c r="U66" i="39" s="1"/>
  <c r="G66" i="39" s="1"/>
  <c r="AB66" i="39"/>
  <c r="Z83" i="36"/>
  <c r="U83" i="39" s="1"/>
  <c r="G83" i="39" s="1"/>
  <c r="AB83" i="39"/>
  <c r="AD49" i="36"/>
  <c r="Y49" i="39" s="1"/>
  <c r="K49" i="39" s="1"/>
  <c r="AF49" i="39"/>
  <c r="Z23" i="36"/>
  <c r="U23" i="39" s="1"/>
  <c r="G23" i="39" s="1"/>
  <c r="AB23" i="39"/>
  <c r="AV87" i="39"/>
  <c r="AO87" i="39"/>
  <c r="AS77" i="39"/>
  <c r="AY49" i="39"/>
  <c r="AK49" i="39"/>
  <c r="AR49" i="39"/>
  <c r="AS34" i="39"/>
  <c r="AZ34" i="39"/>
  <c r="AV92" i="39"/>
  <c r="AO92" i="39"/>
  <c r="AO103" i="39"/>
  <c r="AV103" i="39"/>
  <c r="AR83" i="39"/>
  <c r="AY83" i="39"/>
  <c r="AK83" i="39"/>
  <c r="AO59" i="39"/>
  <c r="AO27" i="39"/>
  <c r="AH27" i="39"/>
  <c r="AV27" i="39"/>
  <c r="AR15" i="39"/>
  <c r="AY15" i="39"/>
  <c r="AZ25" i="39"/>
  <c r="AS25" i="39"/>
  <c r="AL25" i="39"/>
  <c r="AV80" i="39"/>
  <c r="AO80" i="39"/>
  <c r="AZ52" i="39"/>
  <c r="AS52" i="39"/>
  <c r="AL52" i="39"/>
  <c r="AQ85" i="39"/>
  <c r="AX85" i="39"/>
  <c r="AJ85" i="39"/>
  <c r="AO65" i="39"/>
  <c r="AV65" i="39"/>
  <c r="AR21" i="39"/>
  <c r="AY21" i="39"/>
  <c r="AZ92" i="39"/>
  <c r="AL92" i="39"/>
  <c r="AS92" i="39"/>
  <c r="AR64" i="39"/>
  <c r="AY64" i="39"/>
  <c r="AK64" i="39"/>
  <c r="AV36" i="39"/>
  <c r="AO36" i="39"/>
  <c r="Q86" i="37"/>
  <c r="T83" i="39"/>
  <c r="F83" i="39" s="1"/>
  <c r="AH83" i="39" s="1"/>
  <c r="AV35" i="39"/>
  <c r="AI26" i="39"/>
  <c r="AX47" i="39"/>
  <c r="H47" i="39"/>
  <c r="AJ47" i="39" s="1"/>
  <c r="AJ63" i="39"/>
  <c r="AH81" i="39"/>
  <c r="J82" i="37"/>
  <c r="T79" i="39"/>
  <c r="BA54" i="39"/>
  <c r="K54" i="39"/>
  <c r="AM54" i="39" s="1"/>
  <c r="AK57" i="39"/>
  <c r="AM70" i="39"/>
  <c r="AX17" i="39"/>
  <c r="H17" i="39"/>
  <c r="AJ17" i="39" s="1"/>
  <c r="AI53" i="39"/>
  <c r="AH89" i="39"/>
  <c r="AX43" i="39"/>
  <c r="H43" i="39"/>
  <c r="AJ43" i="39" s="1"/>
  <c r="AL100" i="39"/>
  <c r="AY33" i="39"/>
  <c r="I33" i="39"/>
  <c r="AK33" i="39" s="1"/>
  <c r="AJ22" i="39"/>
  <c r="AX33" i="39"/>
  <c r="H33" i="39"/>
  <c r="AJ33" i="39" s="1"/>
  <c r="AH78" i="39"/>
  <c r="AI58" i="39"/>
  <c r="AY18" i="39"/>
  <c r="I18" i="39"/>
  <c r="AK18" i="39" s="1"/>
  <c r="AJ24" i="39"/>
  <c r="AO94" i="39"/>
  <c r="AV94" i="39"/>
  <c r="AR101" i="39"/>
  <c r="AK101" i="39"/>
  <c r="AY101" i="39"/>
  <c r="AW40" i="39"/>
  <c r="AP40" i="39"/>
  <c r="AV64" i="39"/>
  <c r="AO64" i="39"/>
  <c r="BA63" i="39"/>
  <c r="K63" i="39"/>
  <c r="AM63" i="39" s="1"/>
  <c r="AH101" i="39"/>
  <c r="AJ38" i="39"/>
  <c r="AY63" i="39"/>
  <c r="I63" i="39"/>
  <c r="AK63" i="39" s="1"/>
  <c r="AI35" i="39"/>
  <c r="AL89" i="39"/>
  <c r="AI99" i="39"/>
  <c r="AV15" i="39"/>
  <c r="AX40" i="39"/>
  <c r="H40" i="39"/>
  <c r="AJ40" i="39" s="1"/>
  <c r="AS101" i="39"/>
  <c r="AZ101" i="39"/>
  <c r="AJ105" i="39"/>
  <c r="AQ105" i="39"/>
  <c r="AX105" i="39"/>
  <c r="AS86" i="39"/>
  <c r="AZ86" i="39"/>
  <c r="AL86" i="39"/>
  <c r="AV40" i="39"/>
  <c r="AO40" i="39"/>
  <c r="AW77" i="39"/>
  <c r="AP77" i="39"/>
  <c r="AI77" i="39"/>
  <c r="AS59" i="39"/>
  <c r="AL59" i="39"/>
  <c r="AZ59" i="39"/>
  <c r="AT92" i="39"/>
  <c r="BA92" i="39"/>
  <c r="AM92" i="39"/>
  <c r="AS60" i="39"/>
  <c r="AL60" i="39"/>
  <c r="AZ60" i="39"/>
  <c r="AR80" i="39"/>
  <c r="AY80" i="39"/>
  <c r="AK80" i="39"/>
  <c r="AW79" i="39"/>
  <c r="AP79" i="39"/>
  <c r="AI79" i="39"/>
  <c r="AO69" i="39"/>
  <c r="AV69" i="39"/>
  <c r="AZ105" i="39"/>
  <c r="AS105" i="39"/>
  <c r="AS31" i="39"/>
  <c r="AZ31" i="39"/>
  <c r="AO99" i="39"/>
  <c r="AY37" i="39"/>
  <c r="AK37" i="39"/>
  <c r="AR37" i="39"/>
  <c r="AQ76" i="39"/>
  <c r="AJ76" i="39"/>
  <c r="AX76" i="39"/>
  <c r="AO84" i="39"/>
  <c r="AV84" i="39"/>
  <c r="AS38" i="39"/>
  <c r="AZ38" i="39"/>
  <c r="AL38" i="39"/>
  <c r="AW61" i="39"/>
  <c r="AP61" i="39"/>
  <c r="AV97" i="39"/>
  <c r="AO97" i="39"/>
  <c r="AX46" i="39"/>
  <c r="AQ46" i="39"/>
  <c r="AY31" i="39"/>
  <c r="I31" i="39"/>
  <c r="AK31" i="39" s="1"/>
  <c r="AK92" i="39"/>
  <c r="AM89" i="39"/>
  <c r="AK27" i="39"/>
  <c r="AL15" i="39"/>
  <c r="AM78" i="39"/>
  <c r="AI100" i="39"/>
  <c r="BA31" i="39"/>
  <c r="K31" i="39"/>
  <c r="AM31" i="39" s="1"/>
  <c r="AX91" i="39"/>
  <c r="H91" i="39"/>
  <c r="AJ91" i="39" s="1"/>
  <c r="AI103" i="39"/>
  <c r="AW17" i="39"/>
  <c r="AP17" i="39"/>
  <c r="AI17" i="39"/>
  <c r="AZ46" i="39"/>
  <c r="AS46" i="39"/>
  <c r="AL46" i="39"/>
  <c r="AM73" i="39"/>
  <c r="AJ28" i="39"/>
  <c r="AJ37" i="39"/>
  <c r="Z98" i="36"/>
  <c r="U98" i="39" s="1"/>
  <c r="G98" i="39" s="1"/>
  <c r="AB98" i="39"/>
  <c r="AB72" i="36"/>
  <c r="W72" i="39" s="1"/>
  <c r="I72" i="39" s="1"/>
  <c r="AD72" i="39"/>
  <c r="U80" i="37"/>
  <c r="X77" i="39"/>
  <c r="J77" i="39" s="1"/>
  <c r="AL77" i="39" s="1"/>
  <c r="J62" i="37"/>
  <c r="T59" i="39"/>
  <c r="F59" i="39" s="1"/>
  <c r="AH59" i="39" s="1"/>
  <c r="AK15" i="39"/>
  <c r="AH80" i="39"/>
  <c r="AH65" i="39"/>
  <c r="AK21" i="39"/>
  <c r="AH36" i="39"/>
  <c r="AQ16" i="39"/>
  <c r="AX16" i="39"/>
  <c r="AO50" i="39"/>
  <c r="AT18" i="39"/>
  <c r="AL29" i="39"/>
  <c r="AZ29" i="39"/>
  <c r="AS29" i="39"/>
  <c r="AQ84" i="39"/>
  <c r="AX84" i="39"/>
  <c r="AJ84" i="39"/>
  <c r="AS78" i="39"/>
  <c r="AL78" i="39"/>
  <c r="AZ78" i="39"/>
  <c r="AS18" i="39"/>
  <c r="AZ18" i="39"/>
  <c r="AL18" i="39"/>
  <c r="AY54" i="39"/>
  <c r="AR54" i="39"/>
  <c r="AQ78" i="39"/>
  <c r="AJ78" i="39"/>
  <c r="AX78" i="39"/>
  <c r="BA68" i="39"/>
  <c r="AT68" i="39"/>
  <c r="AW28" i="39"/>
  <c r="AI28" i="39"/>
  <c r="AP28" i="39"/>
  <c r="AS20" i="39"/>
  <c r="AZ20" i="39"/>
  <c r="AL20" i="39"/>
  <c r="AP55" i="39"/>
  <c r="AI55" i="39"/>
  <c r="AW55" i="39"/>
  <c r="AL16" i="39"/>
  <c r="AS16" i="39"/>
  <c r="AZ16" i="39"/>
  <c r="AW15" i="39"/>
  <c r="AP15" i="39"/>
  <c r="AI15" i="39"/>
  <c r="AI102" i="39"/>
  <c r="AW102" i="39"/>
  <c r="AP102" i="39"/>
  <c r="AX57" i="39"/>
  <c r="AQ57" i="39"/>
  <c r="AX87" i="39"/>
  <c r="AQ87" i="39"/>
  <c r="AJ87" i="39"/>
  <c r="AO63" i="39"/>
  <c r="AP104" i="39"/>
  <c r="AW104" i="39"/>
  <c r="BA90" i="39"/>
  <c r="AM90" i="39"/>
  <c r="AT90" i="39"/>
  <c r="AW72" i="39"/>
  <c r="AI72" i="39"/>
  <c r="AP72" i="39"/>
  <c r="AS102" i="39"/>
  <c r="AZ102" i="39"/>
  <c r="AS54" i="39"/>
  <c r="AL54" i="39"/>
  <c r="AZ54" i="39"/>
  <c r="AT95" i="39"/>
  <c r="AR38" i="39"/>
  <c r="AY38" i="39"/>
  <c r="AK38" i="39"/>
  <c r="AV77" i="39"/>
  <c r="AO77" i="39"/>
  <c r="AW82" i="39"/>
  <c r="AP82" i="39"/>
  <c r="AZ104" i="39"/>
  <c r="AS104" i="39"/>
  <c r="AT53" i="39"/>
  <c r="BA53" i="39"/>
  <c r="AY79" i="39"/>
  <c r="AR79" i="39"/>
  <c r="AK79" i="39"/>
  <c r="AZ40" i="39"/>
  <c r="AS40" i="39"/>
  <c r="AL40" i="39"/>
  <c r="AQ81" i="39"/>
  <c r="AX81" i="39"/>
  <c r="AJ81" i="39"/>
  <c r="AY42" i="39"/>
  <c r="AR42" i="39"/>
  <c r="AQ98" i="39"/>
  <c r="AX98" i="39"/>
  <c r="AJ98" i="39"/>
  <c r="AW74" i="39"/>
  <c r="AP74" i="39"/>
  <c r="AI74" i="39"/>
  <c r="AY50" i="39"/>
  <c r="AR50" i="39"/>
  <c r="AS85" i="39"/>
  <c r="AZ85" i="39"/>
  <c r="AL85" i="39"/>
  <c r="AM15" i="39"/>
  <c r="AT15" i="39"/>
  <c r="BA15" i="39"/>
  <c r="AT38" i="39"/>
  <c r="BA38" i="39"/>
  <c r="AM38" i="39"/>
  <c r="AV16" i="39"/>
  <c r="BA51" i="39"/>
  <c r="AT51" i="39"/>
  <c r="AM51" i="39"/>
  <c r="AS87" i="39"/>
  <c r="AZ87" i="39"/>
  <c r="AL87" i="39"/>
  <c r="AZ27" i="39"/>
  <c r="AL27" i="39"/>
  <c r="AS27" i="39"/>
  <c r="AT36" i="39"/>
  <c r="BA36" i="39"/>
  <c r="AT42" i="39"/>
  <c r="BA42" i="39"/>
  <c r="AM42" i="39"/>
  <c r="AY43" i="39"/>
  <c r="AR43" i="39"/>
  <c r="AZ22" i="39"/>
  <c r="AS22" i="39"/>
  <c r="AL22" i="39"/>
  <c r="AO67" i="39"/>
  <c r="AY22" i="39"/>
  <c r="I22" i="39"/>
  <c r="AK22" i="39" s="1"/>
  <c r="BA32" i="39"/>
  <c r="K32" i="39"/>
  <c r="AM32" i="39" s="1"/>
  <c r="AY16" i="39"/>
  <c r="I16" i="39"/>
  <c r="AK16" i="39" s="1"/>
  <c r="T99" i="39"/>
  <c r="F99" i="39" s="1"/>
  <c r="AH99" i="39" s="1"/>
  <c r="J102" i="37"/>
  <c r="Q102" i="37"/>
  <c r="BA26" i="39"/>
  <c r="K26" i="39"/>
  <c r="AM26" i="39" s="1"/>
  <c r="AR75" i="39"/>
  <c r="AY75" i="39"/>
  <c r="AK75" i="39"/>
  <c r="AX95" i="39"/>
  <c r="AJ95" i="39"/>
  <c r="AQ95" i="39"/>
  <c r="AW47" i="39"/>
  <c r="AP47" i="39"/>
  <c r="AZ55" i="39"/>
  <c r="AS55" i="39"/>
  <c r="AL55" i="39"/>
  <c r="AZ21" i="39"/>
  <c r="AL21" i="39"/>
  <c r="AS21" i="39"/>
  <c r="AY56" i="39"/>
  <c r="AR56" i="39"/>
  <c r="AS45" i="39"/>
  <c r="AZ41" i="39"/>
  <c r="AS41" i="39"/>
  <c r="AL41" i="39"/>
  <c r="AW20" i="39"/>
  <c r="AP20" i="39"/>
  <c r="AI20" i="39"/>
  <c r="AO60" i="39"/>
  <c r="AV60" i="39"/>
  <c r="AH60" i="39"/>
  <c r="AM87" i="39"/>
  <c r="BA87" i="39"/>
  <c r="AT87" i="39"/>
  <c r="AM19" i="39"/>
  <c r="BA19" i="39"/>
  <c r="AT19" i="39"/>
  <c r="AH57" i="39"/>
  <c r="AO57" i="39"/>
  <c r="AV57" i="39"/>
  <c r="AY103" i="39"/>
  <c r="AK103" i="39"/>
  <c r="AR103" i="39"/>
  <c r="AW46" i="39"/>
  <c r="AP46" i="39"/>
  <c r="AS72" i="39"/>
  <c r="AZ72" i="39"/>
  <c r="AP91" i="39"/>
  <c r="AW91" i="39"/>
  <c r="BA29" i="39"/>
  <c r="AM29" i="39"/>
  <c r="AT29" i="39"/>
  <c r="AR17" i="39"/>
  <c r="AY17" i="39"/>
  <c r="AP76" i="39"/>
  <c r="AW76" i="39"/>
  <c r="AW48" i="39"/>
  <c r="AP48" i="39"/>
  <c r="BA75" i="39"/>
  <c r="AT75" i="39"/>
  <c r="AQ64" i="39"/>
  <c r="AJ64" i="39"/>
  <c r="AX64" i="39"/>
  <c r="AP96" i="39"/>
  <c r="Z57" i="36"/>
  <c r="U57" i="39" s="1"/>
  <c r="G57" i="39" s="1"/>
  <c r="AB57" i="39"/>
  <c r="AB55" i="36"/>
  <c r="W55" i="39" s="1"/>
  <c r="I55" i="39" s="1"/>
  <c r="AD55" i="39"/>
  <c r="AD37" i="36"/>
  <c r="Y37" i="39" s="1"/>
  <c r="K37" i="39" s="1"/>
  <c r="AF37" i="39"/>
  <c r="AR13" i="39"/>
  <c r="AY13" i="39"/>
  <c r="AV38" i="39"/>
  <c r="AO38" i="39"/>
  <c r="AX52" i="39"/>
  <c r="AQ52" i="39"/>
  <c r="AT43" i="39"/>
  <c r="AM43" i="39"/>
  <c r="AL79" i="39"/>
  <c r="AZ79" i="39"/>
  <c r="AS79" i="39"/>
  <c r="AR99" i="39"/>
  <c r="AK99" i="39"/>
  <c r="AY99" i="39"/>
  <c r="AO75" i="39"/>
  <c r="AO43" i="39"/>
  <c r="AO66" i="39"/>
  <c r="AR98" i="39"/>
  <c r="AK98" i="39"/>
  <c r="AY98" i="39"/>
  <c r="AV105" i="39"/>
  <c r="AO105" i="39"/>
  <c r="AR81" i="39"/>
  <c r="AL53" i="39"/>
  <c r="AS53" i="39"/>
  <c r="AZ53" i="39"/>
  <c r="AM17" i="39"/>
  <c r="BA17" i="39"/>
  <c r="AT17" i="39"/>
  <c r="AS80" i="39"/>
  <c r="AL80" i="39"/>
  <c r="AZ80" i="39"/>
  <c r="AP60" i="39"/>
  <c r="AW60" i="39"/>
  <c r="Q53" i="37"/>
  <c r="T50" i="39"/>
  <c r="F50" i="39" s="1"/>
  <c r="AH50" i="39" s="1"/>
  <c r="J53" i="37"/>
  <c r="BA18" i="39"/>
  <c r="K18" i="39"/>
  <c r="AM18" i="39" s="1"/>
  <c r="AX30" i="39"/>
  <c r="H30" i="39"/>
  <c r="AJ30" i="39" s="1"/>
  <c r="J66" i="37"/>
  <c r="T63" i="39"/>
  <c r="F63" i="39" s="1"/>
  <c r="AH63" i="39" s="1"/>
  <c r="BA95" i="39"/>
  <c r="K95" i="39"/>
  <c r="AM95" i="39" s="1"/>
  <c r="AH77" i="39"/>
  <c r="AI82" i="39"/>
  <c r="AL104" i="39"/>
  <c r="AX19" i="39"/>
  <c r="H19" i="39"/>
  <c r="AJ19" i="39" s="1"/>
  <c r="AM53" i="39"/>
  <c r="BA28" i="39"/>
  <c r="K28" i="39"/>
  <c r="AM28" i="39" s="1"/>
  <c r="AK42" i="39"/>
  <c r="AK50" i="39"/>
  <c r="AY45" i="39"/>
  <c r="AR45" i="39"/>
  <c r="AS98" i="39"/>
  <c r="AZ98" i="39"/>
  <c r="AQ53" i="39"/>
  <c r="AX53" i="39"/>
  <c r="AM36" i="39"/>
  <c r="AK43" i="39"/>
  <c r="T67" i="39"/>
  <c r="F67" i="39" s="1"/>
  <c r="AH67" i="39" s="1"/>
  <c r="J70" i="37"/>
  <c r="Q70" i="37"/>
  <c r="AV31" i="39"/>
  <c r="AW68" i="39"/>
  <c r="AP68" i="39"/>
  <c r="AS74" i="39"/>
  <c r="AZ74" i="39"/>
  <c r="AY62" i="39"/>
  <c r="AR62" i="39"/>
  <c r="AK62" i="39"/>
  <c r="AZ99" i="39"/>
  <c r="AS99" i="39"/>
  <c r="AZ47" i="39"/>
  <c r="AS47" i="39"/>
  <c r="AL47" i="39"/>
  <c r="AP78" i="39"/>
  <c r="AW78" i="39"/>
  <c r="AT20" i="39"/>
  <c r="BA20" i="39"/>
  <c r="AM20" i="39"/>
  <c r="AS36" i="39"/>
  <c r="AZ36" i="39"/>
  <c r="AI63" i="39"/>
  <c r="AW63" i="39"/>
  <c r="AP63" i="39"/>
  <c r="AR19" i="39"/>
  <c r="AY19" i="39"/>
  <c r="AW31" i="39"/>
  <c r="AP31" i="39"/>
  <c r="BA56" i="39"/>
  <c r="AT56" i="39"/>
  <c r="AQ69" i="39"/>
  <c r="AX69" i="39"/>
  <c r="AJ69" i="39"/>
  <c r="AW14" i="39"/>
  <c r="AP14" i="39"/>
  <c r="AI14" i="39"/>
  <c r="AO98" i="39"/>
  <c r="BA62" i="39"/>
  <c r="AT62" i="39"/>
  <c r="AM62" i="39"/>
  <c r="AY69" i="39"/>
  <c r="AR69" i="39"/>
  <c r="AJ100" i="39"/>
  <c r="AQ100" i="39"/>
  <c r="AX100" i="39"/>
  <c r="AQ73" i="39"/>
  <c r="AX73" i="39"/>
  <c r="AJ73" i="39"/>
  <c r="AL26" i="39"/>
  <c r="AS26" i="39"/>
  <c r="AZ26" i="39"/>
  <c r="AT47" i="39"/>
  <c r="AV85" i="39"/>
  <c r="AO85" i="39"/>
  <c r="AV25" i="39"/>
  <c r="N48" i="37"/>
  <c r="X45" i="39"/>
  <c r="J45" i="39" s="1"/>
  <c r="AL45" i="39" s="1"/>
  <c r="AI46" i="39"/>
  <c r="AL72" i="39"/>
  <c r="AI91" i="39"/>
  <c r="AK17" i="39"/>
  <c r="AW29" i="39"/>
  <c r="AP29" i="39"/>
  <c r="AI29" i="39"/>
  <c r="AI76" i="39"/>
  <c r="AI48" i="39"/>
  <c r="AM75" i="39"/>
  <c r="AX44" i="39"/>
  <c r="H44" i="39"/>
  <c r="AJ44" i="39" s="1"/>
  <c r="R99" i="37"/>
  <c r="U96" i="39"/>
  <c r="G96" i="39" s="1"/>
  <c r="AI96" i="39" s="1"/>
  <c r="AG76" i="40"/>
  <c r="X76" i="40"/>
  <c r="AE76" i="40"/>
  <c r="Y72" i="40"/>
  <c r="AF72" i="40"/>
  <c r="AH65" i="40"/>
  <c r="AA65" i="40"/>
  <c r="X62" i="40"/>
  <c r="AE62" i="40"/>
  <c r="X70" i="40"/>
  <c r="AE70" i="40"/>
  <c r="Y76" i="40"/>
  <c r="AF76" i="40"/>
  <c r="AG85" i="40"/>
  <c r="Z85" i="40"/>
  <c r="AA69" i="40"/>
  <c r="AH69" i="40"/>
  <c r="X66" i="40"/>
  <c r="AE66" i="40"/>
  <c r="AE74" i="40"/>
  <c r="X74" i="40"/>
  <c r="AF71" i="40"/>
  <c r="Y71" i="40"/>
  <c r="AH64" i="40"/>
  <c r="AA64" i="40"/>
  <c r="AE72" i="40"/>
  <c r="X72" i="40"/>
  <c r="Y75" i="40"/>
  <c r="AF75" i="40"/>
  <c r="AH68" i="40"/>
  <c r="AA68" i="40"/>
  <c r="AE65" i="40"/>
  <c r="X65" i="40"/>
  <c r="AE73" i="40"/>
  <c r="X73" i="40"/>
  <c r="AF70" i="40"/>
  <c r="Y70" i="40"/>
  <c r="AH63" i="40"/>
  <c r="AA63" i="40"/>
  <c r="Z66" i="40"/>
  <c r="AE77" i="40"/>
  <c r="X77" i="40"/>
  <c r="AF74" i="40"/>
  <c r="Y74" i="40"/>
  <c r="AH67" i="40"/>
  <c r="AA67" i="40"/>
  <c r="AG77" i="40"/>
  <c r="Z77" i="40"/>
  <c r="AE63" i="40"/>
  <c r="X63" i="40"/>
  <c r="AE71" i="40"/>
  <c r="X71" i="40"/>
  <c r="AF73" i="40"/>
  <c r="Y73" i="40"/>
  <c r="AH62" i="40"/>
  <c r="AA62" i="40"/>
  <c r="AE75" i="40"/>
  <c r="X75" i="40"/>
  <c r="Y77" i="40"/>
  <c r="AF77" i="40"/>
  <c r="AH66" i="40"/>
  <c r="AA66" i="40"/>
  <c r="AA74" i="40"/>
  <c r="J33" i="37"/>
  <c r="Q33" i="37"/>
  <c r="J16" i="37"/>
  <c r="Q16" i="37"/>
  <c r="J19" i="37"/>
  <c r="Q19" i="37"/>
  <c r="Q36" i="37"/>
  <c r="J36" i="37"/>
  <c r="S102" i="37"/>
  <c r="Q21" i="37"/>
  <c r="J21" i="37"/>
  <c r="J18" i="37"/>
  <c r="Q18" i="37"/>
  <c r="J24" i="37"/>
  <c r="Q24" i="37"/>
  <c r="Q20" i="37"/>
  <c r="J20" i="37"/>
  <c r="Q37" i="37"/>
  <c r="J37" i="37"/>
  <c r="J25" i="37"/>
  <c r="Q25" i="37"/>
  <c r="Q29" i="37"/>
  <c r="J29" i="37"/>
  <c r="J17" i="37"/>
  <c r="Q17" i="37"/>
  <c r="J31" i="37"/>
  <c r="Q31" i="37"/>
  <c r="J38" i="37"/>
  <c r="Q38" i="37"/>
  <c r="J26" i="37"/>
  <c r="Q26" i="37"/>
  <c r="M81" i="37"/>
  <c r="J34" i="37"/>
  <c r="Q34" i="37"/>
  <c r="J23" i="37"/>
  <c r="Q23" i="37"/>
  <c r="J32" i="37"/>
  <c r="Q32" i="37"/>
  <c r="V104" i="37"/>
  <c r="J27" i="37"/>
  <c r="Q27" i="37"/>
  <c r="Q28" i="37"/>
  <c r="J28" i="37"/>
  <c r="J35" i="37"/>
  <c r="Q35" i="37"/>
  <c r="E110" i="35"/>
  <c r="E109" i="35"/>
  <c r="E108" i="35"/>
  <c r="E107" i="35"/>
  <c r="E106" i="35"/>
  <c r="E105" i="35"/>
  <c r="E104" i="35"/>
  <c r="E103" i="35"/>
  <c r="E102" i="35"/>
  <c r="E101" i="35"/>
  <c r="E100" i="35"/>
  <c r="E99" i="35"/>
  <c r="E98" i="35"/>
  <c r="E97" i="35"/>
  <c r="E96" i="35"/>
  <c r="E95" i="35"/>
  <c r="E94" i="35"/>
  <c r="E93" i="35"/>
  <c r="E92" i="35"/>
  <c r="E91" i="35"/>
  <c r="E90" i="35"/>
  <c r="E89" i="35"/>
  <c r="E88" i="35"/>
  <c r="E87" i="35"/>
  <c r="E86" i="35"/>
  <c r="E85" i="35"/>
  <c r="E84" i="35"/>
  <c r="E83" i="35"/>
  <c r="E82" i="35"/>
  <c r="E81" i="35"/>
  <c r="E80" i="35"/>
  <c r="E79" i="35"/>
  <c r="E78" i="35"/>
  <c r="E77" i="35"/>
  <c r="E76" i="35"/>
  <c r="E75" i="35"/>
  <c r="E74" i="35"/>
  <c r="E73" i="35"/>
  <c r="E72" i="35"/>
  <c r="E71" i="35"/>
  <c r="E70" i="35"/>
  <c r="E69" i="35"/>
  <c r="E68" i="35"/>
  <c r="E67" i="35"/>
  <c r="E66" i="35"/>
  <c r="E65" i="35"/>
  <c r="E64" i="35"/>
  <c r="E63" i="35"/>
  <c r="E62" i="35"/>
  <c r="E61" i="35"/>
  <c r="E60" i="35"/>
  <c r="E59" i="35"/>
  <c r="E58" i="35"/>
  <c r="E57" i="35"/>
  <c r="E56" i="35"/>
  <c r="E55" i="35"/>
  <c r="E54" i="35"/>
  <c r="E53" i="35"/>
  <c r="E52" i="35"/>
  <c r="E51" i="35"/>
  <c r="E50" i="35"/>
  <c r="E49" i="35"/>
  <c r="E48" i="35"/>
  <c r="E47" i="35"/>
  <c r="E46" i="35"/>
  <c r="E45" i="35"/>
  <c r="E44" i="35"/>
  <c r="E43" i="35"/>
  <c r="E42" i="35"/>
  <c r="E41" i="35"/>
  <c r="E40" i="35"/>
  <c r="E39" i="35"/>
  <c r="E38" i="35"/>
  <c r="E37" i="35"/>
  <c r="E36" i="35"/>
  <c r="E35" i="35"/>
  <c r="E34" i="35"/>
  <c r="E33" i="35"/>
  <c r="E32" i="35"/>
  <c r="E31" i="35"/>
  <c r="E30" i="35"/>
  <c r="E29" i="35"/>
  <c r="E28" i="35"/>
  <c r="E27" i="35"/>
  <c r="E26" i="35"/>
  <c r="E25" i="35"/>
  <c r="E24" i="35"/>
  <c r="E23" i="35"/>
  <c r="E22" i="35"/>
  <c r="D24" i="23" s="1"/>
  <c r="E24" i="23" s="1"/>
  <c r="E21" i="35"/>
  <c r="E20" i="35"/>
  <c r="I6" i="40" s="1"/>
  <c r="E19" i="35"/>
  <c r="D39" i="23" s="1"/>
  <c r="E39" i="23" s="1"/>
  <c r="E18" i="35"/>
  <c r="E17" i="35"/>
  <c r="E16" i="35"/>
  <c r="D103" i="23" s="1"/>
  <c r="E103" i="23" s="1"/>
  <c r="E15" i="35"/>
  <c r="D102" i="23" s="1"/>
  <c r="E102" i="23" s="1"/>
  <c r="E14" i="35"/>
  <c r="D105" i="23" s="1"/>
  <c r="E105" i="23" s="1"/>
  <c r="E13" i="35"/>
  <c r="E12" i="35"/>
  <c r="E11" i="35"/>
  <c r="D104" i="23" s="1"/>
  <c r="E104" i="23" s="1"/>
  <c r="E94" i="23"/>
  <c r="H14" i="37" s="1"/>
  <c r="E78" i="23"/>
  <c r="H13" i="37" s="1"/>
  <c r="E62" i="23"/>
  <c r="H12" i="37" s="1"/>
  <c r="E101" i="23"/>
  <c r="E69" i="23"/>
  <c r="E53" i="23"/>
  <c r="E38" i="23"/>
  <c r="E23" i="23"/>
  <c r="O6" i="4"/>
  <c r="P6" i="4" s="1"/>
  <c r="Q6" i="4" s="1"/>
  <c r="R6" i="4" s="1"/>
  <c r="S6" i="4" s="1"/>
  <c r="N6" i="4"/>
  <c r="O104" i="37" l="1"/>
  <c r="T81" i="37"/>
  <c r="V83" i="37"/>
  <c r="L102" i="37"/>
  <c r="Z62" i="40"/>
  <c r="AA80" i="40"/>
  <c r="N51" i="37"/>
  <c r="AF68" i="40"/>
  <c r="AF84" i="40"/>
  <c r="M43" i="37"/>
  <c r="Y62" i="40"/>
  <c r="Z84" i="40"/>
  <c r="AE78" i="40"/>
  <c r="AG74" i="40"/>
  <c r="Y64" i="40"/>
  <c r="AE69" i="40"/>
  <c r="Z69" i="40"/>
  <c r="V79" i="37"/>
  <c r="X68" i="40"/>
  <c r="Z67" i="40"/>
  <c r="AA70" i="40"/>
  <c r="Z75" i="40"/>
  <c r="Z71" i="40"/>
  <c r="K92" i="37"/>
  <c r="Z73" i="40"/>
  <c r="R54" i="37"/>
  <c r="R22" i="37"/>
  <c r="K37" i="37"/>
  <c r="R92" i="37"/>
  <c r="R37" i="37"/>
  <c r="AG78" i="40"/>
  <c r="K54" i="37"/>
  <c r="O64" i="37"/>
  <c r="V64" i="37"/>
  <c r="K41" i="37"/>
  <c r="K60" i="37"/>
  <c r="AA79" i="40"/>
  <c r="R41" i="37"/>
  <c r="K26" i="37"/>
  <c r="Y78" i="40"/>
  <c r="Z65" i="40"/>
  <c r="AV98" i="39"/>
  <c r="O70" i="37"/>
  <c r="AA75" i="40"/>
  <c r="Z70" i="40"/>
  <c r="O102" i="37"/>
  <c r="V102" i="37"/>
  <c r="AV43" i="39"/>
  <c r="Z83" i="40"/>
  <c r="AA85" i="40"/>
  <c r="AG81" i="40"/>
  <c r="R26" i="37"/>
  <c r="K28" i="37"/>
  <c r="Z72" i="40"/>
  <c r="AH76" i="40"/>
  <c r="S38" i="37"/>
  <c r="R28" i="37"/>
  <c r="L38" i="37"/>
  <c r="K101" i="37"/>
  <c r="AV75" i="39"/>
  <c r="O47" i="37"/>
  <c r="U51" i="37"/>
  <c r="R60" i="37"/>
  <c r="V47" i="37"/>
  <c r="O83" i="37"/>
  <c r="R46" i="37"/>
  <c r="T43" i="37"/>
  <c r="U54" i="37"/>
  <c r="N54" i="37"/>
  <c r="T31" i="37"/>
  <c r="M31" i="37"/>
  <c r="K22" i="37"/>
  <c r="AH71" i="40"/>
  <c r="V52" i="37"/>
  <c r="O38" i="37"/>
  <c r="S65" i="37"/>
  <c r="AH82" i="40"/>
  <c r="X64" i="40"/>
  <c r="AH84" i="40"/>
  <c r="O79" i="37"/>
  <c r="R69" i="37"/>
  <c r="V38" i="37"/>
  <c r="L65" i="37"/>
  <c r="S97" i="37"/>
  <c r="V70" i="37"/>
  <c r="M75" i="37"/>
  <c r="L24" i="37"/>
  <c r="L97" i="37"/>
  <c r="S24" i="37"/>
  <c r="K46" i="37"/>
  <c r="AA83" i="40"/>
  <c r="X84" i="40"/>
  <c r="AF79" i="40"/>
  <c r="X67" i="40"/>
  <c r="Y65" i="40"/>
  <c r="Z63" i="40"/>
  <c r="AV66" i="39"/>
  <c r="AA78" i="40"/>
  <c r="AA73" i="40"/>
  <c r="AE82" i="40"/>
  <c r="AF85" i="40"/>
  <c r="Y81" i="40"/>
  <c r="Z82" i="40"/>
  <c r="Y63" i="40"/>
  <c r="AG68" i="40"/>
  <c r="AF67" i="40"/>
  <c r="AA72" i="40"/>
  <c r="Y69" i="40"/>
  <c r="AG80" i="40"/>
  <c r="AE80" i="40"/>
  <c r="AG64" i="40"/>
  <c r="AF83" i="40"/>
  <c r="AE81" i="40"/>
  <c r="X83" i="40"/>
  <c r="Y80" i="40"/>
  <c r="AH81" i="40"/>
  <c r="X85" i="40"/>
  <c r="AA77" i="40"/>
  <c r="Y66" i="40"/>
  <c r="AK72" i="39"/>
  <c r="T58" i="37"/>
  <c r="R74" i="37"/>
  <c r="K69" i="37"/>
  <c r="AJ62" i="39"/>
  <c r="S54" i="37"/>
  <c r="L54" i="37"/>
  <c r="K74" i="37"/>
  <c r="O40" i="37"/>
  <c r="R101" i="37"/>
  <c r="O68" i="37"/>
  <c r="U45" i="37"/>
  <c r="AG79" i="40"/>
  <c r="V68" i="37"/>
  <c r="AI34" i="39"/>
  <c r="AI89" i="39"/>
  <c r="V40" i="37"/>
  <c r="N45" i="37"/>
  <c r="AJ51" i="39"/>
  <c r="K86" i="37"/>
  <c r="M90" i="37"/>
  <c r="R86" i="37"/>
  <c r="T90" i="37"/>
  <c r="I56" i="40"/>
  <c r="B56" i="40"/>
  <c r="C56" i="40" s="1"/>
  <c r="D56" i="40" s="1"/>
  <c r="E56" i="40" s="1"/>
  <c r="F56" i="40" s="1"/>
  <c r="B22" i="40"/>
  <c r="C22" i="40" s="1"/>
  <c r="D22" i="40" s="1"/>
  <c r="E22" i="40" s="1"/>
  <c r="F22" i="40" s="1"/>
  <c r="AI38" i="39"/>
  <c r="K6" i="40"/>
  <c r="J6" i="40"/>
  <c r="L6" i="40"/>
  <c r="N6" i="40"/>
  <c r="M6" i="40"/>
  <c r="I57" i="40"/>
  <c r="B57" i="40"/>
  <c r="C57" i="40" s="1"/>
  <c r="D57" i="40" s="1"/>
  <c r="E57" i="40" s="1"/>
  <c r="F57" i="40" s="1"/>
  <c r="B14" i="40"/>
  <c r="C14" i="40" s="1"/>
  <c r="D14" i="40" s="1"/>
  <c r="E14" i="40" s="1"/>
  <c r="F14" i="40" s="1"/>
  <c r="E17" i="23"/>
  <c r="H9" i="37" s="1"/>
  <c r="I54" i="40"/>
  <c r="B54" i="40"/>
  <c r="C54" i="40" s="1"/>
  <c r="D54" i="40" s="1"/>
  <c r="E54" i="40" s="1"/>
  <c r="F54" i="40" s="1"/>
  <c r="I55" i="40"/>
  <c r="B55" i="40"/>
  <c r="C55" i="40" s="1"/>
  <c r="D55" i="40" s="1"/>
  <c r="E55" i="40" s="1"/>
  <c r="F55" i="40" s="1"/>
  <c r="N86" i="37"/>
  <c r="T49" i="37"/>
  <c r="X79" i="40"/>
  <c r="Y82" i="40"/>
  <c r="AV91" i="39"/>
  <c r="M26" i="37"/>
  <c r="T26" i="37"/>
  <c r="U86" i="37"/>
  <c r="M49" i="37"/>
  <c r="T75" i="37"/>
  <c r="AK55" i="39"/>
  <c r="AK28" i="39"/>
  <c r="AV47" i="39"/>
  <c r="AZ45" i="39"/>
  <c r="AV50" i="39"/>
  <c r="AV82" i="39"/>
  <c r="AV51" i="39"/>
  <c r="AM61" i="39"/>
  <c r="AM35" i="39"/>
  <c r="AK23" i="39"/>
  <c r="AL83" i="39"/>
  <c r="AV59" i="39"/>
  <c r="AI83" i="39"/>
  <c r="AM65" i="39"/>
  <c r="AV83" i="39"/>
  <c r="AK46" i="39"/>
  <c r="AW38" i="39"/>
  <c r="AP38" i="39"/>
  <c r="AY40" i="39"/>
  <c r="AR40" i="39"/>
  <c r="AK40" i="39"/>
  <c r="AT44" i="39"/>
  <c r="AM80" i="39"/>
  <c r="BA80" i="39"/>
  <c r="AT80" i="39"/>
  <c r="AT61" i="39"/>
  <c r="BA61" i="39"/>
  <c r="AW96" i="39"/>
  <c r="AY72" i="39"/>
  <c r="AR72" i="39"/>
  <c r="AW66" i="39"/>
  <c r="AP66" i="39"/>
  <c r="AI66" i="39"/>
  <c r="AW71" i="39"/>
  <c r="AP71" i="39"/>
  <c r="AI71" i="39"/>
  <c r="AQ51" i="39"/>
  <c r="AX51" i="39"/>
  <c r="AV95" i="39"/>
  <c r="AZ49" i="39"/>
  <c r="BA44" i="39"/>
  <c r="K44" i="39"/>
  <c r="AM44" i="39" s="1"/>
  <c r="BA82" i="39"/>
  <c r="AW51" i="39"/>
  <c r="G51" i="39"/>
  <c r="AI51" i="39" s="1"/>
  <c r="AT37" i="39"/>
  <c r="BA37" i="39"/>
  <c r="AM37" i="39"/>
  <c r="AV67" i="39"/>
  <c r="AV79" i="39"/>
  <c r="F79" i="39"/>
  <c r="AH79" i="39" s="1"/>
  <c r="AZ61" i="39"/>
  <c r="AW19" i="39"/>
  <c r="AP19" i="39"/>
  <c r="AI19" i="39"/>
  <c r="AZ93" i="39"/>
  <c r="AR23" i="39"/>
  <c r="AY23" i="39"/>
  <c r="AS83" i="39"/>
  <c r="AZ83" i="39"/>
  <c r="AZ81" i="39"/>
  <c r="AW34" i="39"/>
  <c r="AP34" i="39"/>
  <c r="AW89" i="39"/>
  <c r="AP89" i="39"/>
  <c r="AW23" i="39"/>
  <c r="AP23" i="39"/>
  <c r="AI23" i="39"/>
  <c r="AW25" i="39"/>
  <c r="AP25" i="39"/>
  <c r="AI25" i="39"/>
  <c r="BA76" i="39"/>
  <c r="AT76" i="39"/>
  <c r="AM76" i="39"/>
  <c r="AZ48" i="39"/>
  <c r="J48" i="39"/>
  <c r="AL48" i="39" s="1"/>
  <c r="AW98" i="39"/>
  <c r="AP98" i="39"/>
  <c r="M58" i="37"/>
  <c r="O52" i="37"/>
  <c r="AY55" i="39"/>
  <c r="AR55" i="39"/>
  <c r="AI98" i="39"/>
  <c r="AV99" i="39"/>
  <c r="AY87" i="39"/>
  <c r="AK87" i="39"/>
  <c r="AR87" i="39"/>
  <c r="AZ51" i="39"/>
  <c r="AL51" i="39"/>
  <c r="AS51" i="39"/>
  <c r="AY28" i="39"/>
  <c r="AR28" i="39"/>
  <c r="AV39" i="39"/>
  <c r="AV55" i="39"/>
  <c r="AX62" i="39"/>
  <c r="AQ62" i="39"/>
  <c r="AQ94" i="39"/>
  <c r="AX94" i="39"/>
  <c r="AJ94" i="39"/>
  <c r="BA49" i="39"/>
  <c r="AT49" i="39"/>
  <c r="AM49" i="39"/>
  <c r="AT35" i="39"/>
  <c r="BA35" i="39"/>
  <c r="AW57" i="39"/>
  <c r="AP57" i="39"/>
  <c r="AV63" i="39"/>
  <c r="AX21" i="39"/>
  <c r="H21" i="39"/>
  <c r="AJ21" i="39" s="1"/>
  <c r="AX35" i="39"/>
  <c r="H35" i="39"/>
  <c r="AJ35" i="39" s="1"/>
  <c r="AW43" i="39"/>
  <c r="AP43" i="39"/>
  <c r="BA67" i="39"/>
  <c r="AT67" i="39"/>
  <c r="BA99" i="39"/>
  <c r="AT99" i="39"/>
  <c r="AV71" i="39"/>
  <c r="AT101" i="39"/>
  <c r="BA101" i="39"/>
  <c r="AR78" i="39"/>
  <c r="AY78" i="39"/>
  <c r="AK78" i="39"/>
  <c r="AJ99" i="39"/>
  <c r="AX99" i="39"/>
  <c r="AQ99" i="39"/>
  <c r="AI57" i="39"/>
  <c r="AZ77" i="39"/>
  <c r="AP83" i="39"/>
  <c r="AW83" i="39"/>
  <c r="BA65" i="39"/>
  <c r="AT65" i="39"/>
  <c r="AZ42" i="39"/>
  <c r="AL42" i="39"/>
  <c r="AS42" i="39"/>
  <c r="AY46" i="39"/>
  <c r="AR46" i="39"/>
  <c r="AV74" i="39"/>
  <c r="AI43" i="39"/>
  <c r="AM67" i="39"/>
  <c r="AM99" i="39"/>
  <c r="AM101" i="39"/>
  <c r="E151" i="23"/>
  <c r="E134" i="23"/>
  <c r="E118" i="23"/>
  <c r="E85" i="23"/>
  <c r="E8" i="23"/>
  <c r="B85" i="30"/>
  <c r="B84" i="3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7" i="20"/>
  <c r="I37" i="20"/>
  <c r="G37" i="20"/>
  <c r="I36" i="20"/>
  <c r="G36" i="20"/>
  <c r="D36" i="20"/>
  <c r="D27" i="20"/>
  <c r="E13" i="20"/>
  <c r="K9" i="20"/>
  <c r="J6" i="20"/>
  <c r="B6" i="20"/>
  <c r="B2" i="9"/>
  <c r="Z420" i="19"/>
  <c r="Y420" i="19"/>
  <c r="Z419" i="19"/>
  <c r="Y419" i="19"/>
  <c r="Z418" i="19"/>
  <c r="Y418" i="19"/>
  <c r="AB418" i="19" s="1"/>
  <c r="Z417" i="19"/>
  <c r="Y417" i="19"/>
  <c r="AB417" i="19" s="1"/>
  <c r="Z416" i="19"/>
  <c r="Y416" i="19"/>
  <c r="Z415" i="19"/>
  <c r="Y415" i="19"/>
  <c r="AD412" i="19"/>
  <c r="Z312" i="19"/>
  <c r="Y312" i="19"/>
  <c r="AB312" i="19" s="1"/>
  <c r="Z311" i="19"/>
  <c r="Y311" i="19"/>
  <c r="Z310" i="19"/>
  <c r="Y310" i="19"/>
  <c r="Z309" i="19"/>
  <c r="AB309" i="19" s="1"/>
  <c r="Y309" i="19"/>
  <c r="Z308" i="19"/>
  <c r="AB308" i="19" s="1"/>
  <c r="Y308" i="19"/>
  <c r="Z307" i="19"/>
  <c r="Y307" i="19"/>
  <c r="Z306" i="19"/>
  <c r="Y306" i="19"/>
  <c r="AB306" i="19" s="1"/>
  <c r="AD303" i="19"/>
  <c r="Z264" i="19"/>
  <c r="Y264" i="19"/>
  <c r="AB264" i="19" s="1"/>
  <c r="Z263" i="19"/>
  <c r="Y263" i="19"/>
  <c r="AB263" i="19" s="1"/>
  <c r="Z262" i="19"/>
  <c r="Y262" i="19"/>
  <c r="AB262" i="19" s="1"/>
  <c r="Z261" i="19"/>
  <c r="Y261" i="19"/>
  <c r="Z260" i="19"/>
  <c r="Y260" i="19"/>
  <c r="AB260" i="19" s="1"/>
  <c r="Z259" i="19"/>
  <c r="Y259" i="19"/>
  <c r="AB259" i="19" s="1"/>
  <c r="Z258" i="19"/>
  <c r="AB258" i="19" s="1"/>
  <c r="Y258" i="19"/>
  <c r="AD255" i="19"/>
  <c r="Z216" i="19"/>
  <c r="Y216" i="19"/>
  <c r="AB216" i="19" s="1"/>
  <c r="Z215" i="19"/>
  <c r="Y215" i="19"/>
  <c r="AB215" i="19" s="1"/>
  <c r="Z214" i="19"/>
  <c r="Y214" i="19"/>
  <c r="Z213" i="19"/>
  <c r="Y213" i="19"/>
  <c r="Z212" i="19"/>
  <c r="Y212" i="19"/>
  <c r="Z211" i="19"/>
  <c r="Y211" i="19"/>
  <c r="AB211" i="19" s="1"/>
  <c r="Z210" i="19"/>
  <c r="Y210" i="19"/>
  <c r="AD207" i="19"/>
  <c r="AA118" i="19"/>
  <c r="Z118" i="19"/>
  <c r="Y118" i="19"/>
  <c r="AA117" i="19"/>
  <c r="Z117" i="19"/>
  <c r="Y117" i="19"/>
  <c r="AB117" i="19" s="1"/>
  <c r="AB116" i="19"/>
  <c r="AA116" i="19"/>
  <c r="Z116" i="19"/>
  <c r="Y116" i="19"/>
  <c r="AA115" i="19"/>
  <c r="Z115" i="19"/>
  <c r="Y115" i="19"/>
  <c r="AA114" i="19"/>
  <c r="Z114" i="19"/>
  <c r="Y114" i="19"/>
  <c r="AA113" i="19"/>
  <c r="Z113" i="19"/>
  <c r="Y113" i="19"/>
  <c r="AB112" i="19"/>
  <c r="AA112" i="19"/>
  <c r="Z112" i="19"/>
  <c r="Y112" i="19"/>
  <c r="AD109" i="19"/>
  <c r="A20" i="34"/>
  <c r="A19" i="34"/>
  <c r="A18" i="34"/>
  <c r="A17" i="34"/>
  <c r="A9" i="34"/>
  <c r="S6" i="34"/>
  <c r="T6" i="34" s="1"/>
  <c r="U6" i="34" s="1"/>
  <c r="V6" i="34" s="1"/>
  <c r="W6" i="34" s="1"/>
  <c r="R6" i="34"/>
  <c r="K6" i="34"/>
  <c r="L6" i="34" s="1"/>
  <c r="M6" i="34" s="1"/>
  <c r="N6" i="34" s="1"/>
  <c r="O6" i="34" s="1"/>
  <c r="J6" i="34"/>
  <c r="C6" i="34"/>
  <c r="D6" i="34" s="1"/>
  <c r="E6" i="34" s="1"/>
  <c r="F6" i="34" s="1"/>
  <c r="G6" i="34" s="1"/>
  <c r="B6" i="34"/>
  <c r="A1" i="34"/>
  <c r="B6" i="30"/>
  <c r="D4" i="30"/>
  <c r="D83" i="30" s="1"/>
  <c r="C4" i="30"/>
  <c r="C83" i="30" s="1"/>
  <c r="D56" i="17"/>
  <c r="D55" i="17"/>
  <c r="D54" i="17"/>
  <c r="D53" i="17"/>
  <c r="D52" i="17"/>
  <c r="D50" i="17" s="1"/>
  <c r="D49" i="17"/>
  <c r="D48" i="17"/>
  <c r="B15" i="17"/>
  <c r="B14" i="17"/>
  <c r="B13" i="17"/>
  <c r="B12" i="17"/>
  <c r="C8" i="17"/>
  <c r="C6" i="17"/>
  <c r="D4" i="17"/>
  <c r="E4" i="17" s="1"/>
  <c r="F4" i="17" s="1"/>
  <c r="G4" i="17" s="1"/>
  <c r="H4" i="17" s="1"/>
  <c r="C4" i="17"/>
  <c r="I6" i="2"/>
  <c r="B147" i="23"/>
  <c r="B130" i="23"/>
  <c r="B114" i="23"/>
  <c r="B97" i="23"/>
  <c r="B81" i="23"/>
  <c r="B65" i="23"/>
  <c r="B49" i="23"/>
  <c r="B34" i="23"/>
  <c r="B19" i="23"/>
  <c r="E4" i="23"/>
  <c r="B4" i="23"/>
  <c r="O7" i="33"/>
  <c r="P7" i="33" s="1"/>
  <c r="Q7" i="33" s="1"/>
  <c r="R7" i="33" s="1"/>
  <c r="S7" i="33" s="1"/>
  <c r="N7" i="33"/>
  <c r="H7" i="33"/>
  <c r="I7" i="33" s="1"/>
  <c r="J7" i="33" s="1"/>
  <c r="K7" i="33" s="1"/>
  <c r="L7" i="33" s="1"/>
  <c r="G7" i="33"/>
  <c r="E7" i="33"/>
  <c r="S58" i="4"/>
  <c r="R58" i="4"/>
  <c r="Q58" i="4"/>
  <c r="P58" i="4"/>
  <c r="O58" i="4"/>
  <c r="N58" i="4"/>
  <c r="G58" i="4"/>
  <c r="S57" i="4"/>
  <c r="R57" i="4"/>
  <c r="Q57" i="4"/>
  <c r="P57" i="4"/>
  <c r="O57" i="4"/>
  <c r="N57" i="4"/>
  <c r="G57" i="4"/>
  <c r="S56" i="4"/>
  <c r="R56" i="4"/>
  <c r="Q56" i="4"/>
  <c r="P56" i="4"/>
  <c r="O56" i="4"/>
  <c r="N56" i="4"/>
  <c r="G56" i="4"/>
  <c r="S55" i="4"/>
  <c r="R55" i="4"/>
  <c r="Q55" i="4"/>
  <c r="P55" i="4"/>
  <c r="O55" i="4"/>
  <c r="N55" i="4"/>
  <c r="G55" i="4"/>
  <c r="S54" i="4"/>
  <c r="R54" i="4"/>
  <c r="Q54" i="4"/>
  <c r="P54" i="4"/>
  <c r="O54" i="4"/>
  <c r="N54" i="4"/>
  <c r="G54" i="4"/>
  <c r="S53" i="4"/>
  <c r="R53" i="4"/>
  <c r="Q53" i="4"/>
  <c r="P53" i="4"/>
  <c r="O53" i="4"/>
  <c r="N53" i="4"/>
  <c r="G53" i="4"/>
  <c r="S52" i="4"/>
  <c r="R52" i="4"/>
  <c r="Q52" i="4"/>
  <c r="P52" i="4"/>
  <c r="O52" i="4"/>
  <c r="N52" i="4"/>
  <c r="G52" i="4"/>
  <c r="S51" i="4"/>
  <c r="R51" i="4"/>
  <c r="Q51" i="4"/>
  <c r="P51" i="4"/>
  <c r="O51" i="4"/>
  <c r="N51" i="4"/>
  <c r="G51" i="4"/>
  <c r="S50" i="4"/>
  <c r="R50" i="4"/>
  <c r="Q50" i="4"/>
  <c r="P50" i="4"/>
  <c r="O50" i="4"/>
  <c r="N50" i="4"/>
  <c r="G50" i="4"/>
  <c r="S49" i="4"/>
  <c r="R49" i="4"/>
  <c r="Q49" i="4"/>
  <c r="P49" i="4"/>
  <c r="O49" i="4"/>
  <c r="N49" i="4"/>
  <c r="G49" i="4"/>
  <c r="S48" i="4"/>
  <c r="R48" i="4"/>
  <c r="Q48" i="4"/>
  <c r="P48" i="4"/>
  <c r="O48" i="4"/>
  <c r="N48" i="4"/>
  <c r="G48" i="4"/>
  <c r="S47" i="4"/>
  <c r="R47" i="4"/>
  <c r="Q47" i="4"/>
  <c r="P47" i="4"/>
  <c r="O47" i="4"/>
  <c r="N47" i="4"/>
  <c r="G47" i="4"/>
  <c r="S46" i="4"/>
  <c r="R46" i="4"/>
  <c r="Q46" i="4"/>
  <c r="P46" i="4"/>
  <c r="O46" i="4"/>
  <c r="N46" i="4"/>
  <c r="G46" i="4"/>
  <c r="S45" i="4"/>
  <c r="R45" i="4"/>
  <c r="Q45" i="4"/>
  <c r="P45" i="4"/>
  <c r="O45" i="4"/>
  <c r="N45" i="4"/>
  <c r="G45" i="4"/>
  <c r="S44" i="4"/>
  <c r="R44" i="4"/>
  <c r="Q44" i="4"/>
  <c r="P44" i="4"/>
  <c r="O44" i="4"/>
  <c r="N44" i="4"/>
  <c r="G44" i="4"/>
  <c r="S43" i="4"/>
  <c r="R43" i="4"/>
  <c r="Q43" i="4"/>
  <c r="P43" i="4"/>
  <c r="O43" i="4"/>
  <c r="N43" i="4"/>
  <c r="G43" i="4"/>
  <c r="S42" i="4"/>
  <c r="R42" i="4"/>
  <c r="Q42" i="4"/>
  <c r="P42" i="4"/>
  <c r="O42" i="4"/>
  <c r="N42" i="4"/>
  <c r="G42" i="4"/>
  <c r="S41" i="4"/>
  <c r="R41" i="4"/>
  <c r="Q41" i="4"/>
  <c r="P41" i="4"/>
  <c r="O41" i="4"/>
  <c r="N41" i="4"/>
  <c r="G41" i="4"/>
  <c r="S40" i="4"/>
  <c r="R40" i="4"/>
  <c r="Q40" i="4"/>
  <c r="P40" i="4"/>
  <c r="O40" i="4"/>
  <c r="N40" i="4"/>
  <c r="G40" i="4"/>
  <c r="S39" i="4"/>
  <c r="R39" i="4"/>
  <c r="Q39" i="4"/>
  <c r="P39" i="4"/>
  <c r="O39" i="4"/>
  <c r="N39" i="4"/>
  <c r="G39" i="4"/>
  <c r="S38" i="4"/>
  <c r="R38" i="4"/>
  <c r="Q38" i="4"/>
  <c r="P38" i="4"/>
  <c r="O38" i="4"/>
  <c r="N38" i="4"/>
  <c r="G38" i="4"/>
  <c r="S37" i="4"/>
  <c r="R37" i="4"/>
  <c r="Q37" i="4"/>
  <c r="P37" i="4"/>
  <c r="O37" i="4"/>
  <c r="N37" i="4"/>
  <c r="G37" i="4"/>
  <c r="S36" i="4"/>
  <c r="R36" i="4"/>
  <c r="Q36" i="4"/>
  <c r="P36" i="4"/>
  <c r="O36" i="4"/>
  <c r="N36" i="4"/>
  <c r="G36" i="4"/>
  <c r="S35" i="4"/>
  <c r="R35" i="4"/>
  <c r="Q35" i="4"/>
  <c r="P35" i="4"/>
  <c r="O35" i="4"/>
  <c r="N35" i="4"/>
  <c r="G35" i="4"/>
  <c r="S34" i="4"/>
  <c r="R34" i="4"/>
  <c r="Q34" i="4"/>
  <c r="P34" i="4"/>
  <c r="O34" i="4"/>
  <c r="N34" i="4"/>
  <c r="G34" i="4"/>
  <c r="S33" i="4"/>
  <c r="R33" i="4"/>
  <c r="Q33" i="4"/>
  <c r="P33" i="4"/>
  <c r="O33" i="4"/>
  <c r="N33" i="4"/>
  <c r="G33" i="4"/>
  <c r="S32" i="4"/>
  <c r="R32" i="4"/>
  <c r="Q32" i="4"/>
  <c r="P32" i="4"/>
  <c r="O32" i="4"/>
  <c r="N32" i="4"/>
  <c r="G32" i="4"/>
  <c r="S31" i="4"/>
  <c r="R31" i="4"/>
  <c r="Q31" i="4"/>
  <c r="P31" i="4"/>
  <c r="O31" i="4"/>
  <c r="N31" i="4"/>
  <c r="G31" i="4"/>
  <c r="S30" i="4"/>
  <c r="R30" i="4"/>
  <c r="Q30" i="4"/>
  <c r="P30" i="4"/>
  <c r="O30" i="4"/>
  <c r="N30" i="4"/>
  <c r="G30" i="4"/>
  <c r="S29" i="4"/>
  <c r="R29" i="4"/>
  <c r="Q29" i="4"/>
  <c r="P29" i="4"/>
  <c r="O29" i="4"/>
  <c r="N29" i="4"/>
  <c r="G29" i="4"/>
  <c r="S28" i="4"/>
  <c r="R28" i="4"/>
  <c r="Q28" i="4"/>
  <c r="P28" i="4"/>
  <c r="O28" i="4"/>
  <c r="N28" i="4"/>
  <c r="G28" i="4"/>
  <c r="S27" i="4"/>
  <c r="R27" i="4"/>
  <c r="Q27" i="4"/>
  <c r="P27" i="4"/>
  <c r="O27" i="4"/>
  <c r="N27" i="4"/>
  <c r="G27" i="4"/>
  <c r="S26" i="4"/>
  <c r="R26" i="4"/>
  <c r="Q26" i="4"/>
  <c r="P26" i="4"/>
  <c r="O26" i="4"/>
  <c r="N26" i="4"/>
  <c r="G26" i="4"/>
  <c r="S25" i="4"/>
  <c r="R25" i="4"/>
  <c r="Q25" i="4"/>
  <c r="P25" i="4"/>
  <c r="O25" i="4"/>
  <c r="N25" i="4"/>
  <c r="G25" i="4"/>
  <c r="S24" i="4"/>
  <c r="R24" i="4"/>
  <c r="Q24" i="4"/>
  <c r="P24" i="4"/>
  <c r="O24" i="4"/>
  <c r="N24" i="4"/>
  <c r="G24" i="4"/>
  <c r="S23" i="4"/>
  <c r="R23" i="4"/>
  <c r="Q23" i="4"/>
  <c r="P23" i="4"/>
  <c r="O23" i="4"/>
  <c r="N23" i="4"/>
  <c r="G23" i="4"/>
  <c r="S22" i="4"/>
  <c r="R22" i="4"/>
  <c r="Q22" i="4"/>
  <c r="P22" i="4"/>
  <c r="O22" i="4"/>
  <c r="N22" i="4"/>
  <c r="G22" i="4"/>
  <c r="S21" i="4"/>
  <c r="R21" i="4"/>
  <c r="Q21" i="4"/>
  <c r="P21" i="4"/>
  <c r="O21" i="4"/>
  <c r="N21" i="4"/>
  <c r="G21" i="4"/>
  <c r="S20" i="4"/>
  <c r="R20" i="4"/>
  <c r="Q20" i="4"/>
  <c r="P20" i="4"/>
  <c r="O20" i="4"/>
  <c r="N20" i="4"/>
  <c r="G20" i="4"/>
  <c r="S19" i="4"/>
  <c r="R19" i="4"/>
  <c r="Q19" i="4"/>
  <c r="P19" i="4"/>
  <c r="O19" i="4"/>
  <c r="N19" i="4"/>
  <c r="G19" i="4"/>
  <c r="S18" i="4"/>
  <c r="R18" i="4"/>
  <c r="Q18" i="4"/>
  <c r="P18" i="4"/>
  <c r="O18" i="4"/>
  <c r="N18" i="4"/>
  <c r="G18" i="4"/>
  <c r="S17" i="4"/>
  <c r="R17" i="4"/>
  <c r="Q17" i="4"/>
  <c r="P17" i="4"/>
  <c r="O17" i="4"/>
  <c r="N17" i="4"/>
  <c r="G17" i="4"/>
  <c r="S16" i="4"/>
  <c r="R16" i="4"/>
  <c r="Q16" i="4"/>
  <c r="P16" i="4"/>
  <c r="O16" i="4"/>
  <c r="N16" i="4"/>
  <c r="G16" i="4"/>
  <c r="S15" i="4"/>
  <c r="R15" i="4"/>
  <c r="Q15" i="4"/>
  <c r="P15" i="4"/>
  <c r="O15" i="4"/>
  <c r="N15" i="4"/>
  <c r="G15" i="4"/>
  <c r="G14" i="4"/>
  <c r="G13" i="4"/>
  <c r="G12" i="4"/>
  <c r="G11" i="4"/>
  <c r="G10" i="4"/>
  <c r="G9" i="4"/>
  <c r="G8" i="4"/>
  <c r="G6" i="4"/>
  <c r="F6" i="4"/>
  <c r="V57" i="1"/>
  <c r="U57" i="1"/>
  <c r="T57" i="1"/>
  <c r="S57" i="1"/>
  <c r="R57" i="1"/>
  <c r="Q57" i="1"/>
  <c r="I57" i="1"/>
  <c r="V56" i="1"/>
  <c r="U56" i="1"/>
  <c r="T56" i="1"/>
  <c r="S56" i="1"/>
  <c r="R56" i="1"/>
  <c r="Q56" i="1"/>
  <c r="I56" i="1"/>
  <c r="V55" i="1"/>
  <c r="U55" i="1"/>
  <c r="T55" i="1"/>
  <c r="S55" i="1"/>
  <c r="R55" i="1"/>
  <c r="Q55" i="1"/>
  <c r="I55" i="1"/>
  <c r="V54" i="1"/>
  <c r="U54" i="1"/>
  <c r="T54" i="1"/>
  <c r="S54" i="1"/>
  <c r="R54" i="1"/>
  <c r="Q54" i="1"/>
  <c r="I54" i="1"/>
  <c r="V53" i="1"/>
  <c r="U53" i="1"/>
  <c r="T53" i="1"/>
  <c r="S53" i="1"/>
  <c r="R53" i="1"/>
  <c r="Q53" i="1"/>
  <c r="I53" i="1"/>
  <c r="V52" i="1"/>
  <c r="U52" i="1"/>
  <c r="T52" i="1"/>
  <c r="S52" i="1"/>
  <c r="R52" i="1"/>
  <c r="Q52" i="1"/>
  <c r="I52" i="1"/>
  <c r="V51" i="1"/>
  <c r="U51" i="1"/>
  <c r="T51" i="1"/>
  <c r="S51" i="1"/>
  <c r="R51" i="1"/>
  <c r="Q51" i="1"/>
  <c r="I51" i="1"/>
  <c r="V50" i="1"/>
  <c r="U50" i="1"/>
  <c r="T50" i="1"/>
  <c r="S50" i="1"/>
  <c r="R50" i="1"/>
  <c r="Q50" i="1"/>
  <c r="I50" i="1"/>
  <c r="V49" i="1"/>
  <c r="U49" i="1"/>
  <c r="T49" i="1"/>
  <c r="S49" i="1"/>
  <c r="R49" i="1"/>
  <c r="Q49" i="1"/>
  <c r="I49" i="1"/>
  <c r="V48" i="1"/>
  <c r="U48" i="1"/>
  <c r="T48" i="1"/>
  <c r="S48" i="1"/>
  <c r="R48" i="1"/>
  <c r="Q48" i="1"/>
  <c r="I48" i="1"/>
  <c r="V47" i="1"/>
  <c r="U47" i="1"/>
  <c r="T47" i="1"/>
  <c r="S47" i="1"/>
  <c r="R47" i="1"/>
  <c r="Q47" i="1"/>
  <c r="I47" i="1"/>
  <c r="V46" i="1"/>
  <c r="U46" i="1"/>
  <c r="T46" i="1"/>
  <c r="S46" i="1"/>
  <c r="R46" i="1"/>
  <c r="Q46" i="1"/>
  <c r="I46" i="1"/>
  <c r="V45" i="1"/>
  <c r="U45" i="1"/>
  <c r="T45" i="1"/>
  <c r="S45" i="1"/>
  <c r="R45" i="1"/>
  <c r="Q45" i="1"/>
  <c r="I45" i="1"/>
  <c r="V44" i="1"/>
  <c r="U44" i="1"/>
  <c r="T44" i="1"/>
  <c r="S44" i="1"/>
  <c r="R44" i="1"/>
  <c r="Q44" i="1"/>
  <c r="I44" i="1"/>
  <c r="V43" i="1"/>
  <c r="U43" i="1"/>
  <c r="T43" i="1"/>
  <c r="S43" i="1"/>
  <c r="R43" i="1"/>
  <c r="Q43" i="1"/>
  <c r="I43" i="1"/>
  <c r="V42" i="1"/>
  <c r="U42" i="1"/>
  <c r="T42" i="1"/>
  <c r="S42" i="1"/>
  <c r="R42" i="1"/>
  <c r="Q42" i="1"/>
  <c r="I42" i="1"/>
  <c r="V41" i="1"/>
  <c r="U41" i="1"/>
  <c r="T41" i="1"/>
  <c r="S41" i="1"/>
  <c r="R41" i="1"/>
  <c r="Q41" i="1"/>
  <c r="I41" i="1"/>
  <c r="V40" i="1"/>
  <c r="U40" i="1"/>
  <c r="T40" i="1"/>
  <c r="S40" i="1"/>
  <c r="R40" i="1"/>
  <c r="Q40" i="1"/>
  <c r="I40" i="1"/>
  <c r="V39" i="1"/>
  <c r="U39" i="1"/>
  <c r="T39" i="1"/>
  <c r="S39" i="1"/>
  <c r="R39" i="1"/>
  <c r="Q39" i="1"/>
  <c r="I39" i="1"/>
  <c r="V38" i="1"/>
  <c r="U38" i="1"/>
  <c r="T38" i="1"/>
  <c r="S38" i="1"/>
  <c r="R38" i="1"/>
  <c r="Q38" i="1"/>
  <c r="I38" i="1"/>
  <c r="V37" i="1"/>
  <c r="U37" i="1"/>
  <c r="T37" i="1"/>
  <c r="S37" i="1"/>
  <c r="R37" i="1"/>
  <c r="Q37" i="1"/>
  <c r="I37" i="1"/>
  <c r="V36" i="1"/>
  <c r="U36" i="1"/>
  <c r="T36" i="1"/>
  <c r="S36" i="1"/>
  <c r="R36" i="1"/>
  <c r="Q36" i="1"/>
  <c r="I36" i="1"/>
  <c r="V35" i="1"/>
  <c r="U35" i="1"/>
  <c r="T35" i="1"/>
  <c r="S35" i="1"/>
  <c r="R35" i="1"/>
  <c r="Q35" i="1"/>
  <c r="I35" i="1"/>
  <c r="V34" i="1"/>
  <c r="U34" i="1"/>
  <c r="T34" i="1"/>
  <c r="S34" i="1"/>
  <c r="R34" i="1"/>
  <c r="Q34" i="1"/>
  <c r="I34" i="1"/>
  <c r="V33" i="1"/>
  <c r="U33" i="1"/>
  <c r="T33" i="1"/>
  <c r="S33" i="1"/>
  <c r="R33" i="1"/>
  <c r="Q33" i="1"/>
  <c r="I33" i="1"/>
  <c r="V32" i="1"/>
  <c r="U32" i="1"/>
  <c r="T32" i="1"/>
  <c r="S32" i="1"/>
  <c r="R32" i="1"/>
  <c r="Q32" i="1"/>
  <c r="I32" i="1"/>
  <c r="V31" i="1"/>
  <c r="U31" i="1"/>
  <c r="T31" i="1"/>
  <c r="S31" i="1"/>
  <c r="R31" i="1"/>
  <c r="Q31" i="1"/>
  <c r="I31" i="1"/>
  <c r="V30" i="1"/>
  <c r="U30" i="1"/>
  <c r="T30" i="1"/>
  <c r="S30" i="1"/>
  <c r="R30" i="1"/>
  <c r="Q30" i="1"/>
  <c r="I30" i="1"/>
  <c r="V29" i="1"/>
  <c r="U29" i="1"/>
  <c r="T29" i="1"/>
  <c r="S29" i="1"/>
  <c r="R29" i="1"/>
  <c r="Q29" i="1"/>
  <c r="I29" i="1"/>
  <c r="V28" i="1"/>
  <c r="U28" i="1"/>
  <c r="T28" i="1"/>
  <c r="S28" i="1"/>
  <c r="R28" i="1"/>
  <c r="I28" i="1"/>
  <c r="V27" i="1"/>
  <c r="U27" i="1"/>
  <c r="T27" i="1"/>
  <c r="S27" i="1"/>
  <c r="R27" i="1"/>
  <c r="I27" i="1"/>
  <c r="V26" i="1"/>
  <c r="U26" i="1"/>
  <c r="T26" i="1"/>
  <c r="S26" i="1"/>
  <c r="R26" i="1"/>
  <c r="I26" i="1"/>
  <c r="V25" i="1"/>
  <c r="U25" i="1"/>
  <c r="T25" i="1"/>
  <c r="S25" i="1"/>
  <c r="R25" i="1"/>
  <c r="I25" i="1"/>
  <c r="V24" i="1"/>
  <c r="U24" i="1"/>
  <c r="T24" i="1"/>
  <c r="S24" i="1"/>
  <c r="R24" i="1"/>
  <c r="I24" i="1"/>
  <c r="V23" i="1"/>
  <c r="U23" i="1"/>
  <c r="T23" i="1"/>
  <c r="S23" i="1"/>
  <c r="R23" i="1"/>
  <c r="I23" i="1"/>
  <c r="Q23" i="1" s="1"/>
  <c r="V22" i="1"/>
  <c r="U22" i="1"/>
  <c r="T22" i="1"/>
  <c r="S22" i="1"/>
  <c r="R22" i="1"/>
  <c r="I22" i="1"/>
  <c r="Q22" i="1" s="1"/>
  <c r="V21" i="1"/>
  <c r="U21" i="1"/>
  <c r="T21" i="1"/>
  <c r="S21" i="1"/>
  <c r="R21" i="1"/>
  <c r="I21" i="1"/>
  <c r="V20" i="1"/>
  <c r="U20" i="1"/>
  <c r="T20" i="1"/>
  <c r="S20" i="1"/>
  <c r="R20" i="1"/>
  <c r="I20" i="1"/>
  <c r="V19" i="1"/>
  <c r="U19" i="1"/>
  <c r="T19" i="1"/>
  <c r="S19" i="1"/>
  <c r="R19" i="1"/>
  <c r="I19" i="1"/>
  <c r="V18" i="1"/>
  <c r="U18" i="1"/>
  <c r="T18" i="1"/>
  <c r="S18" i="1"/>
  <c r="R18" i="1"/>
  <c r="I18" i="1"/>
  <c r="V17" i="1"/>
  <c r="U17" i="1"/>
  <c r="T17" i="1"/>
  <c r="S17" i="1"/>
  <c r="R17" i="1"/>
  <c r="I17" i="1"/>
  <c r="Q17" i="1" s="1"/>
  <c r="I16" i="1"/>
  <c r="I15" i="1"/>
  <c r="I14" i="1"/>
  <c r="I13" i="1"/>
  <c r="I12" i="1"/>
  <c r="I11" i="1"/>
  <c r="I10" i="1"/>
  <c r="I9" i="1"/>
  <c r="R6" i="1"/>
  <c r="R14" i="1" s="1"/>
  <c r="Q6" i="1"/>
  <c r="E6" i="1"/>
  <c r="D68" i="15"/>
  <c r="B68" i="15"/>
  <c r="A68" i="15"/>
  <c r="D67" i="15"/>
  <c r="B67" i="15"/>
  <c r="A67" i="15"/>
  <c r="D66" i="15"/>
  <c r="B66" i="15"/>
  <c r="A66" i="15"/>
  <c r="D65" i="15"/>
  <c r="B65" i="15"/>
  <c r="A65" i="15"/>
  <c r="D64" i="15"/>
  <c r="B64" i="15"/>
  <c r="A64" i="15"/>
  <c r="D63" i="15"/>
  <c r="B63" i="15"/>
  <c r="A63" i="15"/>
  <c r="D62" i="15"/>
  <c r="B62" i="15"/>
  <c r="A62" i="15"/>
  <c r="D61" i="15"/>
  <c r="B61" i="15"/>
  <c r="A61" i="15"/>
  <c r="D60" i="15"/>
  <c r="B60" i="15"/>
  <c r="A60" i="15"/>
  <c r="D59" i="15"/>
  <c r="B59" i="15"/>
  <c r="A59" i="15"/>
  <c r="D58" i="15"/>
  <c r="B58" i="15"/>
  <c r="A58" i="15"/>
  <c r="D57" i="15"/>
  <c r="B57" i="15"/>
  <c r="A57" i="15"/>
  <c r="D56" i="15"/>
  <c r="B56" i="15"/>
  <c r="A56" i="15"/>
  <c r="D55" i="15"/>
  <c r="B55" i="15"/>
  <c r="A55" i="15"/>
  <c r="A54" i="15" s="1"/>
  <c r="J7" i="15"/>
  <c r="E38" i="22"/>
  <c r="E37" i="22"/>
  <c r="E36" i="22"/>
  <c r="E35" i="22"/>
  <c r="E34" i="22"/>
  <c r="E33" i="22"/>
  <c r="E32" i="22"/>
  <c r="E31" i="22"/>
  <c r="E30" i="22"/>
  <c r="E29" i="22"/>
  <c r="E28" i="22"/>
  <c r="E27" i="22"/>
  <c r="E26" i="22"/>
  <c r="E25" i="22"/>
  <c r="E24" i="22"/>
  <c r="E23" i="22"/>
  <c r="E22" i="22"/>
  <c r="E21" i="22"/>
  <c r="E20" i="22"/>
  <c r="E19" i="22"/>
  <c r="E18" i="22"/>
  <c r="E17" i="22"/>
  <c r="B17" i="22"/>
  <c r="E16" i="22"/>
  <c r="B16" i="22"/>
  <c r="B15" i="22"/>
  <c r="B14" i="22"/>
  <c r="B13" i="22"/>
  <c r="B12" i="22"/>
  <c r="B11" i="22"/>
  <c r="B10" i="22"/>
  <c r="B9" i="22"/>
  <c r="H7" i="22"/>
  <c r="I7" i="22" s="1"/>
  <c r="J7" i="22" s="1"/>
  <c r="K7" i="22" s="1"/>
  <c r="L7" i="22" s="1"/>
  <c r="G7" i="22"/>
  <c r="E7" i="22"/>
  <c r="D7" i="22"/>
  <c r="C7" i="22"/>
  <c r="D7" i="11"/>
  <c r="E7" i="11" s="1"/>
  <c r="F7" i="11" s="1"/>
  <c r="G7" i="11" s="1"/>
  <c r="H7" i="11" s="1"/>
  <c r="H4" i="11"/>
  <c r="J22" i="15" s="1"/>
  <c r="G4" i="11"/>
  <c r="I22" i="15" s="1"/>
  <c r="F4" i="11"/>
  <c r="H22" i="15" s="1"/>
  <c r="E4" i="11" a="1"/>
  <c r="E4" i="11" s="1"/>
  <c r="G22" i="15" s="1"/>
  <c r="D4" i="11"/>
  <c r="F22" i="15" s="1"/>
  <c r="C4" i="11" a="1"/>
  <c r="C4" i="11" s="1"/>
  <c r="E22" i="15" s="1"/>
  <c r="D33" i="13"/>
  <c r="C24" i="13"/>
  <c r="C13" i="13"/>
  <c r="C9" i="13"/>
  <c r="F6" i="13"/>
  <c r="F5" i="13"/>
  <c r="Q8" i="1" l="1"/>
  <c r="B72" i="34" s="1"/>
  <c r="X10" i="2"/>
  <c r="Z11" i="2"/>
  <c r="AB12" i="2"/>
  <c r="X14" i="2"/>
  <c r="Z15" i="2"/>
  <c r="AB16" i="2"/>
  <c r="AA11" i="2"/>
  <c r="AC12" i="2"/>
  <c r="Y14" i="2"/>
  <c r="AA15" i="2"/>
  <c r="AC16" i="2"/>
  <c r="Z10" i="2"/>
  <c r="X13" i="2"/>
  <c r="Z14" i="2"/>
  <c r="AB15" i="2"/>
  <c r="AA10" i="2"/>
  <c r="Y13" i="2"/>
  <c r="AC15" i="2"/>
  <c r="AB14" i="2"/>
  <c r="AA13" i="2"/>
  <c r="Y16" i="2"/>
  <c r="Y10" i="2"/>
  <c r="X9" i="2"/>
  <c r="AB11" i="2"/>
  <c r="X17" i="2"/>
  <c r="AC11" i="2"/>
  <c r="AA14" i="2"/>
  <c r="Y17" i="2"/>
  <c r="AB10" i="2"/>
  <c r="X12" i="2"/>
  <c r="Z13" i="2"/>
  <c r="X16" i="2"/>
  <c r="Z17" i="2"/>
  <c r="AC10" i="2"/>
  <c r="Y12" i="2"/>
  <c r="AC14" i="2"/>
  <c r="AA17" i="2"/>
  <c r="X11" i="2"/>
  <c r="Z12" i="2"/>
  <c r="AB13" i="2"/>
  <c r="X15" i="2"/>
  <c r="Z16" i="2"/>
  <c r="AB17" i="2"/>
  <c r="Y11" i="2"/>
  <c r="AA12" i="2"/>
  <c r="AC13" i="2"/>
  <c r="Y15" i="2"/>
  <c r="AA16" i="2"/>
  <c r="AC17" i="2"/>
  <c r="X8" i="2"/>
  <c r="A58" i="34"/>
  <c r="Q9" i="49"/>
  <c r="Q10" i="49"/>
  <c r="Q11" i="49"/>
  <c r="Q14" i="49"/>
  <c r="Q13" i="49"/>
  <c r="Q12" i="49"/>
  <c r="Q16" i="49"/>
  <c r="Q15" i="49"/>
  <c r="S11" i="49"/>
  <c r="S15" i="49"/>
  <c r="S10" i="49"/>
  <c r="S9" i="49"/>
  <c r="S14" i="49"/>
  <c r="S13" i="49"/>
  <c r="S12" i="49"/>
  <c r="S16" i="49"/>
  <c r="U12" i="49"/>
  <c r="U16" i="49"/>
  <c r="U10" i="49"/>
  <c r="U11" i="49"/>
  <c r="U13" i="49"/>
  <c r="U15" i="49"/>
  <c r="U9" i="49"/>
  <c r="U14" i="49"/>
  <c r="Q16" i="34"/>
  <c r="B89" i="42"/>
  <c r="B71" i="42"/>
  <c r="B37" i="42"/>
  <c r="B82" i="42"/>
  <c r="B64" i="42"/>
  <c r="Q17" i="34"/>
  <c r="B90" i="42"/>
  <c r="B72" i="42"/>
  <c r="Q10" i="34"/>
  <c r="B65" i="42"/>
  <c r="B38" i="42"/>
  <c r="B83" i="42"/>
  <c r="Q18" i="34"/>
  <c r="B91" i="42"/>
  <c r="B73" i="42"/>
  <c r="I11" i="34"/>
  <c r="B66" i="42"/>
  <c r="B39" i="42"/>
  <c r="B84" i="42"/>
  <c r="Q19" i="34"/>
  <c r="B74" i="42"/>
  <c r="B92" i="42"/>
  <c r="I20" i="34"/>
  <c r="B93" i="42"/>
  <c r="B68" i="42"/>
  <c r="B41" i="42"/>
  <c r="B86" i="42"/>
  <c r="B87" i="42"/>
  <c r="B42" i="42"/>
  <c r="B69" i="42"/>
  <c r="I15" i="34"/>
  <c r="B88" i="42"/>
  <c r="B43" i="42"/>
  <c r="B70" i="42"/>
  <c r="M54" i="40"/>
  <c r="AI54" i="40" s="1"/>
  <c r="L54" i="40"/>
  <c r="K54" i="40"/>
  <c r="N54" i="40"/>
  <c r="AJ54" i="40" s="1"/>
  <c r="J54" i="40"/>
  <c r="AB14" i="40"/>
  <c r="G14" i="40"/>
  <c r="AC14" i="40" s="1"/>
  <c r="I14" i="40"/>
  <c r="E32" i="23"/>
  <c r="H10" i="37" s="1"/>
  <c r="G57" i="40"/>
  <c r="AC57" i="40" s="1"/>
  <c r="AB57" i="40"/>
  <c r="AB22" i="40"/>
  <c r="G22" i="40"/>
  <c r="AC22" i="40" s="1"/>
  <c r="G55" i="40"/>
  <c r="AC55" i="40" s="1"/>
  <c r="AB55" i="40"/>
  <c r="J57" i="40"/>
  <c r="L57" i="40"/>
  <c r="K57" i="40"/>
  <c r="M57" i="40"/>
  <c r="AI57" i="40" s="1"/>
  <c r="N57" i="40"/>
  <c r="AJ57" i="40" s="1"/>
  <c r="I22" i="40"/>
  <c r="E47" i="23"/>
  <c r="E110" i="23"/>
  <c r="H15" i="37" s="1"/>
  <c r="N55" i="40"/>
  <c r="AJ55" i="40" s="1"/>
  <c r="L55" i="40"/>
  <c r="M55" i="40"/>
  <c r="AI55" i="40" s="1"/>
  <c r="K55" i="40"/>
  <c r="J55" i="40"/>
  <c r="G56" i="40"/>
  <c r="AC56" i="40" s="1"/>
  <c r="AB56" i="40"/>
  <c r="AB54" i="40"/>
  <c r="G54" i="40"/>
  <c r="AC54" i="40" s="1"/>
  <c r="N56" i="40"/>
  <c r="AJ56" i="40" s="1"/>
  <c r="J56" i="40"/>
  <c r="L56" i="40"/>
  <c r="M56" i="40"/>
  <c r="AI56" i="40" s="1"/>
  <c r="K56" i="40"/>
  <c r="N8" i="4"/>
  <c r="D28" i="20"/>
  <c r="D30" i="20"/>
  <c r="E12" i="20"/>
  <c r="G42" i="20" s="1"/>
  <c r="G48" i="20"/>
  <c r="D7" i="17"/>
  <c r="D9" i="11"/>
  <c r="J10" i="30"/>
  <c r="Q24" i="1"/>
  <c r="D29" i="20"/>
  <c r="AB307" i="19"/>
  <c r="AB311" i="19"/>
  <c r="AB416" i="19"/>
  <c r="AC416" i="19" s="1"/>
  <c r="AD416" i="19" s="1"/>
  <c r="AB419" i="19"/>
  <c r="AC419" i="19" s="1"/>
  <c r="AD419" i="19" s="1"/>
  <c r="AB113" i="19"/>
  <c r="AB118" i="19"/>
  <c r="AC118" i="19" s="1"/>
  <c r="AD118" i="19" s="1"/>
  <c r="AB212" i="19"/>
  <c r="AB420" i="19"/>
  <c r="AB114" i="19"/>
  <c r="AB213" i="19"/>
  <c r="AC213" i="19" s="1"/>
  <c r="AD213" i="19" s="1"/>
  <c r="AB210" i="19"/>
  <c r="AB214" i="19"/>
  <c r="AB261" i="19"/>
  <c r="AC261" i="19" s="1"/>
  <c r="AD261" i="19" s="1"/>
  <c r="G65" i="20" s="1"/>
  <c r="AB115" i="19"/>
  <c r="AD115" i="19" s="1"/>
  <c r="AB310" i="19"/>
  <c r="AB415" i="19"/>
  <c r="AC115" i="19"/>
  <c r="AC211" i="19"/>
  <c r="AD211" i="19" s="1"/>
  <c r="AC215" i="19"/>
  <c r="AD215" i="19" s="1"/>
  <c r="AD262" i="19"/>
  <c r="AC262" i="19"/>
  <c r="AC310" i="19"/>
  <c r="AD310" i="19" s="1"/>
  <c r="AC415" i="19"/>
  <c r="AD415" i="19"/>
  <c r="AD112" i="19"/>
  <c r="AC307" i="19"/>
  <c r="AD307" i="19" s="1"/>
  <c r="AD311" i="19"/>
  <c r="AC311" i="19"/>
  <c r="AC420" i="19"/>
  <c r="AD420" i="19" s="1"/>
  <c r="G76" i="20" s="1"/>
  <c r="AC264" i="19"/>
  <c r="AD264" i="19" s="1"/>
  <c r="AC308" i="19"/>
  <c r="AD308" i="19" s="1"/>
  <c r="AC114" i="19"/>
  <c r="AD114" i="19" s="1"/>
  <c r="AD259" i="19"/>
  <c r="AC212" i="19"/>
  <c r="AD212" i="19" s="1"/>
  <c r="AC210" i="19"/>
  <c r="AD210" i="19" s="1"/>
  <c r="AC214" i="19"/>
  <c r="AD214" i="19"/>
  <c r="G59" i="20" s="1"/>
  <c r="AC309" i="19"/>
  <c r="AD309" i="19" s="1"/>
  <c r="AC113" i="19"/>
  <c r="AD113" i="19"/>
  <c r="AC263" i="19"/>
  <c r="AD263" i="19"/>
  <c r="AC117" i="19"/>
  <c r="AD117" i="19" s="1"/>
  <c r="AC258" i="19"/>
  <c r="AD258" i="19" s="1"/>
  <c r="AC306" i="19"/>
  <c r="AD306" i="19" s="1"/>
  <c r="G69" i="20" s="1"/>
  <c r="AC112" i="19"/>
  <c r="AC116" i="19"/>
  <c r="AD116" i="19" s="1"/>
  <c r="AC260" i="19"/>
  <c r="AD260" i="19" s="1"/>
  <c r="AC312" i="19"/>
  <c r="AD312" i="19" s="1"/>
  <c r="AC417" i="19"/>
  <c r="AD417" i="19" s="1"/>
  <c r="AC216" i="19"/>
  <c r="AD216" i="19" s="1"/>
  <c r="AC259" i="19"/>
  <c r="AC418" i="19"/>
  <c r="AD418" i="19" s="1"/>
  <c r="G81" i="20" s="1"/>
  <c r="Q21" i="1"/>
  <c r="Q28" i="1"/>
  <c r="Q20" i="1"/>
  <c r="Q27" i="1"/>
  <c r="Q19" i="1"/>
  <c r="Q26" i="1"/>
  <c r="Q25" i="1"/>
  <c r="Q18" i="1"/>
  <c r="I58" i="1"/>
  <c r="C96" i="30"/>
  <c r="Q20" i="34"/>
  <c r="I19" i="34"/>
  <c r="I17" i="34"/>
  <c r="Q11" i="34"/>
  <c r="D8" i="17"/>
  <c r="E4" i="30"/>
  <c r="E83" i="30" s="1"/>
  <c r="D6" i="17"/>
  <c r="R11" i="1"/>
  <c r="R15" i="1"/>
  <c r="S6" i="1"/>
  <c r="S8" i="1" s="1"/>
  <c r="D72" i="34" s="1"/>
  <c r="R12" i="1"/>
  <c r="R9" i="1"/>
  <c r="S13" i="4"/>
  <c r="I9" i="34"/>
  <c r="Q9" i="34"/>
  <c r="I18" i="34"/>
  <c r="I10" i="34"/>
  <c r="I16" i="34"/>
  <c r="Q15" i="34"/>
  <c r="O14" i="4"/>
  <c r="O9" i="4"/>
  <c r="R14" i="4"/>
  <c r="R10" i="4"/>
  <c r="O8" i="4"/>
  <c r="N10" i="4"/>
  <c r="Q14" i="1"/>
  <c r="S8" i="4"/>
  <c r="Q10" i="4"/>
  <c r="S11" i="4"/>
  <c r="Q13" i="4"/>
  <c r="Q9" i="1"/>
  <c r="P9" i="4"/>
  <c r="S10" i="4"/>
  <c r="O12" i="4"/>
  <c r="Q9" i="4"/>
  <c r="P12" i="4"/>
  <c r="Q14" i="4"/>
  <c r="R9" i="4"/>
  <c r="N11" i="4"/>
  <c r="R12" i="4"/>
  <c r="Q10" i="1"/>
  <c r="Q13" i="1"/>
  <c r="Q16" i="1"/>
  <c r="P8" i="4"/>
  <c r="O11" i="4"/>
  <c r="S12" i="4"/>
  <c r="Q15" i="1"/>
  <c r="Q11" i="4"/>
  <c r="Q8" i="4"/>
  <c r="Q11" i="1"/>
  <c r="P10" i="4"/>
  <c r="R11" i="4"/>
  <c r="N13" i="4"/>
  <c r="P13" i="4"/>
  <c r="N14" i="4"/>
  <c r="D51" i="17"/>
  <c r="R13" i="1"/>
  <c r="R16" i="1"/>
  <c r="R8" i="1"/>
  <c r="C72" i="34" s="1"/>
  <c r="R10" i="1"/>
  <c r="S14" i="4"/>
  <c r="R8" i="4"/>
  <c r="S9" i="4"/>
  <c r="N12" i="4"/>
  <c r="O13" i="4"/>
  <c r="P14" i="4"/>
  <c r="Q12" i="1"/>
  <c r="N9" i="4"/>
  <c r="O10" i="4"/>
  <c r="P11" i="4"/>
  <c r="Q12" i="4"/>
  <c r="R13" i="4"/>
  <c r="P8" i="2" l="1"/>
  <c r="B58" i="34"/>
  <c r="B64" i="34" s="1"/>
  <c r="B12" i="34" s="1"/>
  <c r="C40" i="42" s="1"/>
  <c r="E58" i="34"/>
  <c r="E64" i="34" s="1"/>
  <c r="E12" i="34" s="1"/>
  <c r="F40" i="42" s="1"/>
  <c r="C58" i="34"/>
  <c r="C64" i="34" s="1"/>
  <c r="C12" i="34" s="1"/>
  <c r="D40" i="42" s="1"/>
  <c r="D58" i="34"/>
  <c r="D64" i="34" s="1"/>
  <c r="D12" i="34" s="1"/>
  <c r="E40" i="42" s="1"/>
  <c r="G58" i="34"/>
  <c r="G64" i="34" s="1"/>
  <c r="G12" i="34" s="1"/>
  <c r="H40" i="42" s="1"/>
  <c r="F58" i="34"/>
  <c r="F64" i="34" s="1"/>
  <c r="F12" i="34" s="1"/>
  <c r="G40" i="42" s="1"/>
  <c r="U60" i="49"/>
  <c r="S60" i="49"/>
  <c r="Q60" i="49"/>
  <c r="J7" i="41"/>
  <c r="I7" i="41"/>
  <c r="B15" i="34"/>
  <c r="C15" i="34"/>
  <c r="D15" i="34"/>
  <c r="G39" i="20"/>
  <c r="G62" i="20"/>
  <c r="G66" i="20"/>
  <c r="G77" i="20"/>
  <c r="G43" i="20"/>
  <c r="J10" i="15" s="1"/>
  <c r="D31" i="20"/>
  <c r="I65" i="20" s="1"/>
  <c r="H46" i="20"/>
  <c r="H54" i="20"/>
  <c r="H62" i="20"/>
  <c r="H70" i="20"/>
  <c r="H78" i="20"/>
  <c r="H61" i="20"/>
  <c r="H47" i="20"/>
  <c r="H55" i="20"/>
  <c r="H63" i="20"/>
  <c r="H71" i="20"/>
  <c r="H79" i="20"/>
  <c r="H75" i="20"/>
  <c r="H40" i="20"/>
  <c r="H48" i="20"/>
  <c r="H56" i="20"/>
  <c r="H64" i="20"/>
  <c r="H72" i="20"/>
  <c r="H80" i="20"/>
  <c r="H67" i="20"/>
  <c r="H41" i="20"/>
  <c r="H49" i="20"/>
  <c r="H57" i="20"/>
  <c r="H65" i="20"/>
  <c r="H73" i="20"/>
  <c r="H81" i="20"/>
  <c r="H59" i="20"/>
  <c r="H69" i="20"/>
  <c r="H42" i="20"/>
  <c r="H50" i="20"/>
  <c r="H58" i="20"/>
  <c r="H66" i="20"/>
  <c r="H74" i="20"/>
  <c r="H39" i="20"/>
  <c r="H51" i="20"/>
  <c r="H43" i="20"/>
  <c r="H44" i="20"/>
  <c r="H52" i="20"/>
  <c r="H60" i="20"/>
  <c r="H68" i="20"/>
  <c r="H76" i="20"/>
  <c r="H45" i="20"/>
  <c r="H53" i="20"/>
  <c r="H77" i="20"/>
  <c r="K22" i="40"/>
  <c r="N22" i="40"/>
  <c r="AJ22" i="40" s="1"/>
  <c r="M22" i="40"/>
  <c r="AI22" i="40" s="1"/>
  <c r="L22" i="40"/>
  <c r="J22" i="40"/>
  <c r="L14" i="40"/>
  <c r="N14" i="40"/>
  <c r="AJ14" i="40" s="1"/>
  <c r="K14" i="40"/>
  <c r="M14" i="40"/>
  <c r="AI14" i="40" s="1"/>
  <c r="J14" i="40"/>
  <c r="D10" i="17"/>
  <c r="D40" i="30" s="1"/>
  <c r="D10" i="42"/>
  <c r="G75" i="20"/>
  <c r="G63" i="20"/>
  <c r="G47" i="20"/>
  <c r="G41" i="20"/>
  <c r="G55" i="20"/>
  <c r="I55" i="20" s="1"/>
  <c r="G67" i="20"/>
  <c r="G58" i="20"/>
  <c r="G64" i="20"/>
  <c r="G49" i="20"/>
  <c r="G50" i="20"/>
  <c r="J9" i="15" s="1"/>
  <c r="G78" i="20"/>
  <c r="G45" i="20"/>
  <c r="G61" i="20"/>
  <c r="I61" i="20" s="1"/>
  <c r="G60" i="20"/>
  <c r="G79" i="20"/>
  <c r="G70" i="20"/>
  <c r="G46" i="20"/>
  <c r="G71" i="20"/>
  <c r="G40" i="20"/>
  <c r="E11" i="20"/>
  <c r="E10" i="20" s="1"/>
  <c r="E9" i="20" s="1"/>
  <c r="E8" i="20" s="1"/>
  <c r="G53" i="20"/>
  <c r="I53" i="20" s="1"/>
  <c r="G74" i="20"/>
  <c r="G44" i="20"/>
  <c r="G80" i="20"/>
  <c r="G57" i="20"/>
  <c r="G56" i="20"/>
  <c r="G52" i="20"/>
  <c r="G72" i="20"/>
  <c r="G68" i="20"/>
  <c r="I68" i="20" s="1"/>
  <c r="G73" i="20"/>
  <c r="F7" i="17"/>
  <c r="F9" i="11"/>
  <c r="E7" i="17"/>
  <c r="E9" i="11"/>
  <c r="M14" i="34"/>
  <c r="K14" i="34"/>
  <c r="O14" i="34"/>
  <c r="N14" i="34"/>
  <c r="L14" i="34"/>
  <c r="J14" i="34"/>
  <c r="G51" i="20"/>
  <c r="G54" i="20"/>
  <c r="I54" i="20" s="1"/>
  <c r="E6" i="17"/>
  <c r="R60" i="4"/>
  <c r="F67" i="34" s="1"/>
  <c r="Q60" i="4"/>
  <c r="E67" i="34" s="1"/>
  <c r="P60" i="4"/>
  <c r="D67" i="34" s="1"/>
  <c r="O60" i="4"/>
  <c r="C67" i="34" s="1"/>
  <c r="N60" i="4"/>
  <c r="B67" i="34" s="1"/>
  <c r="S60" i="4"/>
  <c r="G67" i="34" s="1"/>
  <c r="E8" i="17"/>
  <c r="F4" i="30"/>
  <c r="F83" i="30" s="1"/>
  <c r="S16" i="1"/>
  <c r="S13" i="1"/>
  <c r="S12" i="1"/>
  <c r="T6" i="1"/>
  <c r="T15" i="1" s="1"/>
  <c r="S14" i="1"/>
  <c r="S10" i="1"/>
  <c r="S9" i="1"/>
  <c r="S15" i="1"/>
  <c r="S11" i="1"/>
  <c r="Q59" i="1"/>
  <c r="R59" i="1"/>
  <c r="C10" i="17"/>
  <c r="D13" i="34" l="1"/>
  <c r="E13" i="34"/>
  <c r="B13" i="34"/>
  <c r="F13" i="34"/>
  <c r="G13" i="34"/>
  <c r="C13" i="34"/>
  <c r="D7" i="30"/>
  <c r="D9" i="30" s="1"/>
  <c r="I72" i="20"/>
  <c r="I45" i="20"/>
  <c r="I41" i="20"/>
  <c r="I39" i="20"/>
  <c r="I42" i="20"/>
  <c r="I52" i="20"/>
  <c r="O9" i="39" s="1"/>
  <c r="I40" i="20"/>
  <c r="I78" i="20"/>
  <c r="I47" i="20"/>
  <c r="I76" i="20"/>
  <c r="I81" i="20"/>
  <c r="I56" i="20"/>
  <c r="I71" i="20"/>
  <c r="I50" i="20"/>
  <c r="Q6" i="39" s="1"/>
  <c r="I63" i="20"/>
  <c r="I43" i="20"/>
  <c r="I48" i="20"/>
  <c r="I57" i="20"/>
  <c r="I46" i="20"/>
  <c r="I49" i="20"/>
  <c r="I75" i="20"/>
  <c r="I69" i="20"/>
  <c r="I66" i="20"/>
  <c r="I80" i="20"/>
  <c r="I70" i="20"/>
  <c r="I64" i="20"/>
  <c r="I62" i="20"/>
  <c r="I79" i="20"/>
  <c r="I58" i="20"/>
  <c r="I59" i="20"/>
  <c r="I44" i="20"/>
  <c r="I51" i="20"/>
  <c r="I73" i="20"/>
  <c r="I74" i="20"/>
  <c r="I60" i="20"/>
  <c r="I67" i="20"/>
  <c r="I77" i="20"/>
  <c r="D18" i="30"/>
  <c r="D29" i="30"/>
  <c r="D32" i="30" s="1"/>
  <c r="P10" i="39"/>
  <c r="O7" i="39"/>
  <c r="E10" i="17"/>
  <c r="E18" i="30" s="1"/>
  <c r="E20" i="30" s="1"/>
  <c r="E10" i="42"/>
  <c r="F10" i="17"/>
  <c r="F29" i="30" s="1"/>
  <c r="F32" i="30" s="1"/>
  <c r="F86" i="30" s="1"/>
  <c r="F18" i="42" s="1"/>
  <c r="F10" i="42"/>
  <c r="C11" i="42"/>
  <c r="BC108" i="39"/>
  <c r="BC106" i="39"/>
  <c r="C73" i="30"/>
  <c r="C76" i="30" s="1"/>
  <c r="C90" i="30" s="1"/>
  <c r="C22" i="42" s="1"/>
  <c r="C51" i="30"/>
  <c r="C54" i="30" s="1"/>
  <c r="C88" i="30" s="1"/>
  <c r="C20" i="42" s="1"/>
  <c r="C62" i="30"/>
  <c r="C65" i="30" s="1"/>
  <c r="C89" i="30" s="1"/>
  <c r="C21" i="42" s="1"/>
  <c r="BC23" i="39"/>
  <c r="BC87" i="39"/>
  <c r="BC28" i="39"/>
  <c r="BC25" i="39"/>
  <c r="BC96" i="39"/>
  <c r="BC15" i="39"/>
  <c r="BC44" i="39"/>
  <c r="BC32" i="39"/>
  <c r="BC76" i="39"/>
  <c r="BC92" i="39"/>
  <c r="BC21" i="39"/>
  <c r="BC86" i="39"/>
  <c r="BC30" i="39"/>
  <c r="BC103" i="39"/>
  <c r="BC17" i="39"/>
  <c r="BC88" i="39"/>
  <c r="BC104" i="39"/>
  <c r="BC31" i="39"/>
  <c r="BC34" i="39"/>
  <c r="BC24" i="39"/>
  <c r="BC20" i="39"/>
  <c r="BC41" i="39"/>
  <c r="BC22" i="39"/>
  <c r="BC19" i="39"/>
  <c r="BC29" i="39"/>
  <c r="BC37" i="39"/>
  <c r="BC18" i="39"/>
  <c r="BC16" i="39"/>
  <c r="BC26" i="39"/>
  <c r="BC35" i="39"/>
  <c r="BC33" i="39"/>
  <c r="BC64" i="39"/>
  <c r="BC14" i="39"/>
  <c r="BC99" i="39"/>
  <c r="BC62" i="39"/>
  <c r="BC48" i="39"/>
  <c r="BC36" i="39"/>
  <c r="BC61" i="39"/>
  <c r="BC50" i="39"/>
  <c r="BC42" i="39"/>
  <c r="BC39" i="39"/>
  <c r="BC75" i="39"/>
  <c r="BC63" i="39"/>
  <c r="BC84" i="39"/>
  <c r="BC102" i="39"/>
  <c r="BC60" i="39"/>
  <c r="BC93" i="39"/>
  <c r="BC81" i="39"/>
  <c r="BC71" i="39"/>
  <c r="BC69" i="39"/>
  <c r="BC52" i="39"/>
  <c r="BC100" i="39"/>
  <c r="BC80" i="39"/>
  <c r="BC90" i="39"/>
  <c r="BC58" i="39"/>
  <c r="BC57" i="39"/>
  <c r="BC49" i="39"/>
  <c r="BC55" i="39"/>
  <c r="BC97" i="39"/>
  <c r="BC101" i="39"/>
  <c r="BC66" i="39"/>
  <c r="BC47" i="39"/>
  <c r="BC43" i="39"/>
  <c r="BC68" i="39"/>
  <c r="BC74" i="39"/>
  <c r="BC54" i="39"/>
  <c r="BC67" i="39"/>
  <c r="BC91" i="39"/>
  <c r="BC73" i="39"/>
  <c r="BC46" i="39"/>
  <c r="BC77" i="39"/>
  <c r="BC70" i="39"/>
  <c r="BC105" i="39"/>
  <c r="BC95" i="39"/>
  <c r="BC51" i="39"/>
  <c r="BC78" i="39"/>
  <c r="BC98" i="39"/>
  <c r="BC89" i="39"/>
  <c r="BC45" i="39"/>
  <c r="BC65" i="39"/>
  <c r="BC94" i="39"/>
  <c r="BC38" i="39"/>
  <c r="BC72" i="39"/>
  <c r="BC85" i="39"/>
  <c r="BC59" i="39"/>
  <c r="BC27" i="39"/>
  <c r="BC53" i="39"/>
  <c r="BC56" i="39"/>
  <c r="BC83" i="39"/>
  <c r="BC82" i="39"/>
  <c r="BC40" i="39"/>
  <c r="BC13" i="39"/>
  <c r="BC79" i="39"/>
  <c r="D11" i="42"/>
  <c r="BD108" i="39"/>
  <c r="BD106" i="39"/>
  <c r="D73" i="30"/>
  <c r="D76" i="30" s="1"/>
  <c r="D51" i="30"/>
  <c r="D54" i="30" s="1"/>
  <c r="D62" i="30"/>
  <c r="D65" i="30" s="1"/>
  <c r="BD67" i="39"/>
  <c r="BD44" i="39"/>
  <c r="BD47" i="39"/>
  <c r="BD92" i="39"/>
  <c r="BD81" i="39"/>
  <c r="BD97" i="39"/>
  <c r="BD105" i="39"/>
  <c r="BD40" i="39"/>
  <c r="BD85" i="39"/>
  <c r="BD39" i="39"/>
  <c r="BD101" i="39"/>
  <c r="BD18" i="39"/>
  <c r="BD93" i="39"/>
  <c r="BD41" i="39"/>
  <c r="BD102" i="39"/>
  <c r="BD32" i="39"/>
  <c r="BD38" i="39"/>
  <c r="BD37" i="39"/>
  <c r="BD27" i="39"/>
  <c r="BD31" i="39"/>
  <c r="BD103" i="39"/>
  <c r="BD55" i="39"/>
  <c r="BD62" i="39"/>
  <c r="BD64" i="39"/>
  <c r="BD61" i="39"/>
  <c r="BD42" i="39"/>
  <c r="BD86" i="39"/>
  <c r="BD68" i="39"/>
  <c r="BD34" i="39"/>
  <c r="BD50" i="39"/>
  <c r="BD35" i="39"/>
  <c r="BD16" i="39"/>
  <c r="BD88" i="39"/>
  <c r="BD21" i="39"/>
  <c r="BD69" i="39"/>
  <c r="BD58" i="39"/>
  <c r="BD30" i="39"/>
  <c r="BD54" i="39"/>
  <c r="BD95" i="39"/>
  <c r="BD77" i="39"/>
  <c r="BD49" i="39"/>
  <c r="BD89" i="39"/>
  <c r="BD74" i="39"/>
  <c r="BD70" i="39"/>
  <c r="BD65" i="39"/>
  <c r="BD94" i="39"/>
  <c r="BD20" i="39"/>
  <c r="BD24" i="39"/>
  <c r="BD99" i="39"/>
  <c r="BD59" i="39"/>
  <c r="BD56" i="39"/>
  <c r="BD82" i="39"/>
  <c r="BD48" i="39"/>
  <c r="BD22" i="39"/>
  <c r="BD96" i="39"/>
  <c r="BD53" i="39"/>
  <c r="BD17" i="39"/>
  <c r="BD75" i="39"/>
  <c r="BD36" i="39"/>
  <c r="BD28" i="39"/>
  <c r="BD46" i="39"/>
  <c r="BD78" i="39"/>
  <c r="BD26" i="39"/>
  <c r="BD52" i="39"/>
  <c r="BD72" i="39"/>
  <c r="BD87" i="39"/>
  <c r="BD84" i="39"/>
  <c r="BD100" i="39"/>
  <c r="BD91" i="39"/>
  <c r="BD73" i="39"/>
  <c r="BD29" i="39"/>
  <c r="BD104" i="39"/>
  <c r="BD45" i="39"/>
  <c r="BD60" i="39"/>
  <c r="BD79" i="39"/>
  <c r="BD33" i="39"/>
  <c r="BD14" i="39"/>
  <c r="BD76" i="39"/>
  <c r="BD15" i="39"/>
  <c r="BD90" i="39"/>
  <c r="BD13" i="39"/>
  <c r="BD63" i="39"/>
  <c r="BD80" i="39"/>
  <c r="BD98" i="39"/>
  <c r="BD57" i="39"/>
  <c r="BD51" i="39"/>
  <c r="BD23" i="39"/>
  <c r="BD71" i="39"/>
  <c r="BD25" i="39"/>
  <c r="BD83" i="39"/>
  <c r="BD19" i="39"/>
  <c r="BD43" i="39"/>
  <c r="BD66" i="39"/>
  <c r="S14" i="34"/>
  <c r="D87" i="42" s="1"/>
  <c r="D69" i="42"/>
  <c r="U14" i="34"/>
  <c r="F87" i="42" s="1"/>
  <c r="F69" i="42"/>
  <c r="T14" i="34"/>
  <c r="E87" i="42" s="1"/>
  <c r="E69" i="42"/>
  <c r="R14" i="34"/>
  <c r="C87" i="42" s="1"/>
  <c r="C69" i="42"/>
  <c r="V14" i="34"/>
  <c r="G87" i="42" s="1"/>
  <c r="G69" i="42"/>
  <c r="W14" i="34"/>
  <c r="H87" i="42" s="1"/>
  <c r="H69" i="42"/>
  <c r="D43" i="30"/>
  <c r="C29" i="30"/>
  <c r="C40" i="30"/>
  <c r="C7" i="30"/>
  <c r="C9" i="30" s="1"/>
  <c r="C18" i="30"/>
  <c r="C20" i="30" s="1"/>
  <c r="G7" i="17"/>
  <c r="G9" i="11"/>
  <c r="T14" i="1"/>
  <c r="T12" i="1"/>
  <c r="T8" i="1"/>
  <c r="E72" i="34" s="1"/>
  <c r="E15" i="34" s="1"/>
  <c r="U6" i="1"/>
  <c r="U10" i="1" s="1"/>
  <c r="G4" i="30"/>
  <c r="G83" i="30" s="1"/>
  <c r="C73" i="34"/>
  <c r="B73" i="34"/>
  <c r="C19" i="17"/>
  <c r="F8" i="17"/>
  <c r="F6" i="17"/>
  <c r="T13" i="1"/>
  <c r="T16" i="1"/>
  <c r="T9" i="1"/>
  <c r="T10" i="1"/>
  <c r="T11" i="1"/>
  <c r="S59" i="1"/>
  <c r="E40" i="30" l="1"/>
  <c r="E43" i="30" s="1"/>
  <c r="E87" i="30" s="1"/>
  <c r="E19" i="42" s="1"/>
  <c r="D21" i="30"/>
  <c r="D24" i="30" s="1"/>
  <c r="D25" i="30" s="1"/>
  <c r="E22" i="30" s="1"/>
  <c r="E97" i="30" s="1"/>
  <c r="Z9" i="2" s="1"/>
  <c r="D20" i="30"/>
  <c r="Q7" i="39"/>
  <c r="D68" i="30"/>
  <c r="D69" i="30" s="1"/>
  <c r="E66" i="30" s="1"/>
  <c r="E101" i="30" s="1"/>
  <c r="D89" i="30"/>
  <c r="D21" i="42" s="1"/>
  <c r="D46" i="30"/>
  <c r="D47" i="30" s="1"/>
  <c r="E44" i="30" s="1"/>
  <c r="E99" i="30" s="1"/>
  <c r="D87" i="30"/>
  <c r="D19" i="42" s="1"/>
  <c r="D79" i="30"/>
  <c r="D80" i="30" s="1"/>
  <c r="E77" i="30" s="1"/>
  <c r="E102" i="30" s="1"/>
  <c r="D90" i="30"/>
  <c r="D22" i="42" s="1"/>
  <c r="D35" i="30"/>
  <c r="D36" i="30" s="1"/>
  <c r="E33" i="30" s="1"/>
  <c r="E98" i="30" s="1"/>
  <c r="D86" i="30"/>
  <c r="D18" i="42" s="1"/>
  <c r="D57" i="30"/>
  <c r="D58" i="30" s="1"/>
  <c r="E55" i="30" s="1"/>
  <c r="E100" i="30" s="1"/>
  <c r="D88" i="30"/>
  <c r="D20" i="42" s="1"/>
  <c r="F40" i="30"/>
  <c r="F18" i="30"/>
  <c r="F7" i="30"/>
  <c r="F9" i="30" s="1"/>
  <c r="E29" i="30"/>
  <c r="E32" i="30" s="1"/>
  <c r="M7" i="39"/>
  <c r="O10" i="39"/>
  <c r="M10" i="39"/>
  <c r="Q9" i="39"/>
  <c r="M8" i="39"/>
  <c r="M6" i="39"/>
  <c r="M9" i="39"/>
  <c r="Q8" i="39"/>
  <c r="O8" i="39"/>
  <c r="R11" i="39"/>
  <c r="R6" i="39"/>
  <c r="P11" i="39"/>
  <c r="N11" i="39"/>
  <c r="R10" i="39"/>
  <c r="N9" i="39"/>
  <c r="O6" i="39"/>
  <c r="N10" i="39"/>
  <c r="R9" i="39"/>
  <c r="P9" i="39"/>
  <c r="R7" i="39"/>
  <c r="N6" i="39"/>
  <c r="R8" i="39"/>
  <c r="P8" i="39"/>
  <c r="N8" i="39"/>
  <c r="P6" i="39"/>
  <c r="P7" i="39"/>
  <c r="N7" i="39"/>
  <c r="Q10" i="39"/>
  <c r="Q11" i="39"/>
  <c r="O11" i="39"/>
  <c r="M11" i="39"/>
  <c r="C79" i="30"/>
  <c r="C80" i="30" s="1"/>
  <c r="D77" i="30" s="1"/>
  <c r="C78" i="30"/>
  <c r="G10" i="17"/>
  <c r="G18" i="30" s="1"/>
  <c r="G20" i="30" s="1"/>
  <c r="G10" i="42"/>
  <c r="E11" i="42"/>
  <c r="BE108" i="39"/>
  <c r="BE106" i="39"/>
  <c r="E73" i="30"/>
  <c r="E76" i="30" s="1"/>
  <c r="E90" i="30" s="1"/>
  <c r="E22" i="42" s="1"/>
  <c r="E51" i="30"/>
  <c r="E54" i="30" s="1"/>
  <c r="E62" i="30"/>
  <c r="E65" i="30" s="1"/>
  <c r="E89" i="30" s="1"/>
  <c r="E21" i="42" s="1"/>
  <c r="BE59" i="39"/>
  <c r="BE54" i="39"/>
  <c r="BE49" i="39"/>
  <c r="BE56" i="39"/>
  <c r="BE61" i="39"/>
  <c r="BE26" i="39"/>
  <c r="BE18" i="39"/>
  <c r="BE45" i="39"/>
  <c r="BE60" i="39"/>
  <c r="BE37" i="39"/>
  <c r="BE28" i="39"/>
  <c r="BE40" i="39"/>
  <c r="BE80" i="39"/>
  <c r="BE34" i="39"/>
  <c r="BE52" i="39"/>
  <c r="BE55" i="39"/>
  <c r="BE22" i="39"/>
  <c r="BE48" i="39"/>
  <c r="BE105" i="39"/>
  <c r="BE27" i="39"/>
  <c r="BE38" i="39"/>
  <c r="BE42" i="39"/>
  <c r="BE19" i="39"/>
  <c r="BE97" i="39"/>
  <c r="BE72" i="39"/>
  <c r="BE17" i="39"/>
  <c r="BE95" i="39"/>
  <c r="BE29" i="39"/>
  <c r="BE102" i="39"/>
  <c r="BE36" i="39"/>
  <c r="BE53" i="39"/>
  <c r="BE58" i="39"/>
  <c r="BE15" i="39"/>
  <c r="BE14" i="39"/>
  <c r="BE24" i="39"/>
  <c r="BE79" i="39"/>
  <c r="BE64" i="39"/>
  <c r="BE43" i="39"/>
  <c r="BE68" i="39"/>
  <c r="BE32" i="39"/>
  <c r="BE75" i="39"/>
  <c r="BE30" i="39"/>
  <c r="BE13" i="39"/>
  <c r="BE41" i="39"/>
  <c r="BE44" i="39"/>
  <c r="BE81" i="39"/>
  <c r="BE82" i="39"/>
  <c r="BE101" i="39"/>
  <c r="BE66" i="39"/>
  <c r="BE39" i="39"/>
  <c r="BE89" i="39"/>
  <c r="BE104" i="39"/>
  <c r="BE46" i="39"/>
  <c r="BE91" i="39"/>
  <c r="BE92" i="39"/>
  <c r="BE71" i="39"/>
  <c r="BE78" i="39"/>
  <c r="BE25" i="39"/>
  <c r="BE77" i="39"/>
  <c r="BE90" i="39"/>
  <c r="BE16" i="39"/>
  <c r="BE84" i="39"/>
  <c r="BE63" i="39"/>
  <c r="BE93" i="39"/>
  <c r="BE47" i="39"/>
  <c r="BE103" i="39"/>
  <c r="BE20" i="39"/>
  <c r="BE73" i="39"/>
  <c r="BE33" i="39"/>
  <c r="BE57" i="39"/>
  <c r="BE83" i="39"/>
  <c r="BE70" i="39"/>
  <c r="BE96" i="39"/>
  <c r="BE100" i="39"/>
  <c r="BE51" i="39"/>
  <c r="BE67" i="39"/>
  <c r="BE98" i="39"/>
  <c r="BE76" i="39"/>
  <c r="BE85" i="39"/>
  <c r="BE87" i="39"/>
  <c r="BE88" i="39"/>
  <c r="BE86" i="39"/>
  <c r="BE65" i="39"/>
  <c r="BE74" i="39"/>
  <c r="BE31" i="39"/>
  <c r="BE62" i="39"/>
  <c r="BE69" i="39"/>
  <c r="BE23" i="39"/>
  <c r="BE50" i="39"/>
  <c r="BE99" i="39"/>
  <c r="BE21" i="39"/>
  <c r="BE35" i="39"/>
  <c r="BE94" i="39"/>
  <c r="E7" i="30"/>
  <c r="E9" i="30" s="1"/>
  <c r="C68" i="30"/>
  <c r="C69" i="30" s="1"/>
  <c r="D66" i="30" s="1"/>
  <c r="C67" i="30"/>
  <c r="C56" i="30"/>
  <c r="C57" i="30"/>
  <c r="C58" i="30" s="1"/>
  <c r="D55" i="30" s="1"/>
  <c r="F11" i="42"/>
  <c r="BF106" i="39"/>
  <c r="BF108" i="39"/>
  <c r="F73" i="30"/>
  <c r="F76" i="30" s="1"/>
  <c r="F51" i="30"/>
  <c r="F54" i="30" s="1"/>
  <c r="F62" i="30"/>
  <c r="F65" i="30" s="1"/>
  <c r="BF73" i="39"/>
  <c r="BF70" i="39"/>
  <c r="BF56" i="39"/>
  <c r="BF51" i="39"/>
  <c r="BF86" i="39"/>
  <c r="BF28" i="39"/>
  <c r="BF14" i="39"/>
  <c r="BF102" i="39"/>
  <c r="BF53" i="39"/>
  <c r="BF96" i="39"/>
  <c r="BF62" i="39"/>
  <c r="BF21" i="39"/>
  <c r="BF76" i="39"/>
  <c r="BF94" i="39"/>
  <c r="BF22" i="39"/>
  <c r="BF37" i="39"/>
  <c r="BF103" i="39"/>
  <c r="BF104" i="39"/>
  <c r="BF54" i="39"/>
  <c r="BF34" i="39"/>
  <c r="BF24" i="39"/>
  <c r="BF45" i="39"/>
  <c r="BF60" i="39"/>
  <c r="BF59" i="39"/>
  <c r="BF36" i="39"/>
  <c r="BF61" i="39"/>
  <c r="BF29" i="39"/>
  <c r="BF43" i="39"/>
  <c r="BF105" i="39"/>
  <c r="BF66" i="39"/>
  <c r="BF63" i="39"/>
  <c r="BF74" i="39"/>
  <c r="BF27" i="39"/>
  <c r="BF58" i="39"/>
  <c r="BF92" i="39"/>
  <c r="BF95" i="39"/>
  <c r="BF48" i="39"/>
  <c r="BF88" i="39"/>
  <c r="BF98" i="39"/>
  <c r="BF31" i="39"/>
  <c r="BF97" i="39"/>
  <c r="BF82" i="39"/>
  <c r="BF50" i="39"/>
  <c r="BF38" i="39"/>
  <c r="BF18" i="39"/>
  <c r="BF80" i="39"/>
  <c r="BF90" i="39"/>
  <c r="BF20" i="39"/>
  <c r="BF47" i="39"/>
  <c r="BF85" i="39"/>
  <c r="BF79" i="39"/>
  <c r="BF33" i="39"/>
  <c r="BF75" i="39"/>
  <c r="BF26" i="39"/>
  <c r="BF84" i="39"/>
  <c r="BF99" i="39"/>
  <c r="BF17" i="39"/>
  <c r="BF25" i="39"/>
  <c r="BF42" i="39"/>
  <c r="BF16" i="39"/>
  <c r="BF57" i="39"/>
  <c r="BF101" i="39"/>
  <c r="BF30" i="39"/>
  <c r="BF39" i="39"/>
  <c r="BF55" i="39"/>
  <c r="BF68" i="39"/>
  <c r="BF44" i="39"/>
  <c r="BF67" i="39"/>
  <c r="BF15" i="39"/>
  <c r="BF13" i="39"/>
  <c r="BF64" i="39"/>
  <c r="BF93" i="39"/>
  <c r="BF52" i="39"/>
  <c r="BF41" i="39"/>
  <c r="BF49" i="39"/>
  <c r="BF89" i="39"/>
  <c r="BF81" i="39"/>
  <c r="BF100" i="39"/>
  <c r="BF77" i="39"/>
  <c r="BF32" i="39"/>
  <c r="BF35" i="39"/>
  <c r="BF69" i="39"/>
  <c r="BF83" i="39"/>
  <c r="BF72" i="39"/>
  <c r="BF65" i="39"/>
  <c r="BF71" i="39"/>
  <c r="BF91" i="39"/>
  <c r="BF19" i="39"/>
  <c r="BF46" i="39"/>
  <c r="BF40" i="39"/>
  <c r="BF87" i="39"/>
  <c r="BF23" i="39"/>
  <c r="BF78" i="39"/>
  <c r="C21" i="30"/>
  <c r="C24" i="30" s="1"/>
  <c r="C25" i="30" s="1"/>
  <c r="D22" i="30" s="1"/>
  <c r="C43" i="30"/>
  <c r="C87" i="30" s="1"/>
  <c r="C19" i="42" s="1"/>
  <c r="C32" i="30"/>
  <c r="C86" i="30" s="1"/>
  <c r="C18" i="42" s="1"/>
  <c r="F43" i="30"/>
  <c r="E21" i="30"/>
  <c r="H7" i="17"/>
  <c r="H9" i="11"/>
  <c r="K10" i="36"/>
  <c r="R10" i="36" s="1"/>
  <c r="AA10" i="39" s="1"/>
  <c r="E46" i="30"/>
  <c r="E47" i="30" s="1"/>
  <c r="F44" i="30" s="1"/>
  <c r="F99" i="30" s="1"/>
  <c r="F35" i="30"/>
  <c r="F36" i="30" s="1"/>
  <c r="G33" i="30" s="1"/>
  <c r="G98" i="30" s="1"/>
  <c r="H4" i="30"/>
  <c r="H83" i="30" s="1"/>
  <c r="U15" i="1"/>
  <c r="U14" i="1"/>
  <c r="V6" i="1"/>
  <c r="V8" i="1" s="1"/>
  <c r="G72" i="34" s="1"/>
  <c r="G15" i="34" s="1"/>
  <c r="U13" i="1"/>
  <c r="U9" i="1"/>
  <c r="U11" i="1"/>
  <c r="U8" i="1"/>
  <c r="F72" i="34" s="1"/>
  <c r="F15" i="34" s="1"/>
  <c r="U12" i="1"/>
  <c r="U16" i="1"/>
  <c r="C10" i="30"/>
  <c r="C84" i="30" s="1"/>
  <c r="C16" i="42" s="1"/>
  <c r="D73" i="34"/>
  <c r="C21" i="17"/>
  <c r="C20" i="17"/>
  <c r="G6" i="17"/>
  <c r="G8" i="17"/>
  <c r="T59" i="1"/>
  <c r="V9" i="1"/>
  <c r="V12" i="1"/>
  <c r="V10" i="1"/>
  <c r="V14" i="1"/>
  <c r="V11" i="1"/>
  <c r="V16" i="1"/>
  <c r="V13" i="1"/>
  <c r="V15" i="1"/>
  <c r="D85" i="30" l="1"/>
  <c r="E45" i="30"/>
  <c r="F21" i="30"/>
  <c r="F85" i="30" s="1"/>
  <c r="F20" i="30"/>
  <c r="E34" i="30"/>
  <c r="E86" i="30"/>
  <c r="E18" i="42" s="1"/>
  <c r="E23" i="30"/>
  <c r="E85" i="30"/>
  <c r="F46" i="30"/>
  <c r="F47" i="30" s="1"/>
  <c r="G44" i="30" s="1"/>
  <c r="G99" i="30" s="1"/>
  <c r="F87" i="30"/>
  <c r="F19" i="42" s="1"/>
  <c r="F68" i="30"/>
  <c r="F69" i="30" s="1"/>
  <c r="G66" i="30" s="1"/>
  <c r="G101" i="30" s="1"/>
  <c r="F89" i="30"/>
  <c r="F21" i="42" s="1"/>
  <c r="F57" i="30"/>
  <c r="F58" i="30" s="1"/>
  <c r="G55" i="30" s="1"/>
  <c r="G100" i="30" s="1"/>
  <c r="F88" i="30"/>
  <c r="F20" i="42" s="1"/>
  <c r="F79" i="30"/>
  <c r="F80" i="30" s="1"/>
  <c r="G77" i="30" s="1"/>
  <c r="G102" i="30" s="1"/>
  <c r="F90" i="30"/>
  <c r="F22" i="42" s="1"/>
  <c r="E57" i="30"/>
  <c r="E58" i="30" s="1"/>
  <c r="F55" i="30" s="1"/>
  <c r="F100" i="30" s="1"/>
  <c r="E88" i="30"/>
  <c r="E20" i="42" s="1"/>
  <c r="D23" i="30"/>
  <c r="D97" i="30"/>
  <c r="Y9" i="2" s="1"/>
  <c r="D78" i="30"/>
  <c r="D102" i="30"/>
  <c r="D67" i="30"/>
  <c r="D101" i="30"/>
  <c r="D56" i="30"/>
  <c r="D100" i="30"/>
  <c r="G40" i="30"/>
  <c r="E35" i="30"/>
  <c r="E36" i="30" s="1"/>
  <c r="F33" i="30" s="1"/>
  <c r="E56" i="30"/>
  <c r="G29" i="30"/>
  <c r="G7" i="30"/>
  <c r="G9" i="30" s="1"/>
  <c r="G11" i="42"/>
  <c r="BG106" i="39"/>
  <c r="BG108" i="39"/>
  <c r="G62" i="30"/>
  <c r="G65" i="30" s="1"/>
  <c r="G73" i="30"/>
  <c r="G76" i="30" s="1"/>
  <c r="G51" i="30"/>
  <c r="G54" i="30" s="1"/>
  <c r="BG73" i="39"/>
  <c r="BG65" i="39"/>
  <c r="BG34" i="39"/>
  <c r="BG102" i="39"/>
  <c r="BG66" i="39"/>
  <c r="BG33" i="39"/>
  <c r="BG76" i="39"/>
  <c r="BG103" i="39"/>
  <c r="BG96" i="39"/>
  <c r="BG61" i="39"/>
  <c r="BG57" i="39"/>
  <c r="BG45" i="39"/>
  <c r="BG99" i="39"/>
  <c r="BG92" i="39"/>
  <c r="BG50" i="39"/>
  <c r="BG47" i="39"/>
  <c r="BG21" i="39"/>
  <c r="BG22" i="39"/>
  <c r="BG15" i="39"/>
  <c r="BG43" i="39"/>
  <c r="BG79" i="39"/>
  <c r="BG49" i="39"/>
  <c r="BG71" i="39"/>
  <c r="BG46" i="39"/>
  <c r="BG60" i="39"/>
  <c r="BG23" i="39"/>
  <c r="BG54" i="39"/>
  <c r="BG93" i="39"/>
  <c r="BG67" i="39"/>
  <c r="BG39" i="39"/>
  <c r="BG62" i="39"/>
  <c r="BG77" i="39"/>
  <c r="BG81" i="39"/>
  <c r="BG94" i="39"/>
  <c r="BG87" i="39"/>
  <c r="BG105" i="39"/>
  <c r="BG84" i="39"/>
  <c r="BG72" i="39"/>
  <c r="BG36" i="39"/>
  <c r="BG55" i="39"/>
  <c r="BG63" i="39"/>
  <c r="BG75" i="39"/>
  <c r="BG59" i="39"/>
  <c r="BG38" i="39"/>
  <c r="BG64" i="39"/>
  <c r="BG37" i="39"/>
  <c r="BG98" i="39"/>
  <c r="BG44" i="39"/>
  <c r="BG16" i="39"/>
  <c r="BG90" i="39"/>
  <c r="BG100" i="39"/>
  <c r="BG13" i="39"/>
  <c r="BG27" i="39"/>
  <c r="BG69" i="39"/>
  <c r="BG97" i="39"/>
  <c r="BG74" i="39"/>
  <c r="BG95" i="39"/>
  <c r="BG58" i="39"/>
  <c r="BG19" i="39"/>
  <c r="BG68" i="39"/>
  <c r="BG24" i="39"/>
  <c r="BG85" i="39"/>
  <c r="BG82" i="39"/>
  <c r="BG56" i="39"/>
  <c r="BG78" i="39"/>
  <c r="BG52" i="39"/>
  <c r="BG32" i="39"/>
  <c r="BG14" i="39"/>
  <c r="BG101" i="39"/>
  <c r="BG80" i="39"/>
  <c r="BG35" i="39"/>
  <c r="BG20" i="39"/>
  <c r="BG104" i="39"/>
  <c r="BG17" i="39"/>
  <c r="BG28" i="39"/>
  <c r="BG70" i="39"/>
  <c r="BG18" i="39"/>
  <c r="BG40" i="39"/>
  <c r="BG86" i="39"/>
  <c r="BG25" i="39"/>
  <c r="BG26" i="39"/>
  <c r="BG30" i="39"/>
  <c r="BG29" i="39"/>
  <c r="BG88" i="39"/>
  <c r="BG31" i="39"/>
  <c r="BG53" i="39"/>
  <c r="BG89" i="39"/>
  <c r="BG91" i="39"/>
  <c r="BG41" i="39"/>
  <c r="BG48" i="39"/>
  <c r="BG42" i="39"/>
  <c r="BG83" i="39"/>
  <c r="BG51" i="39"/>
  <c r="H10" i="17"/>
  <c r="H29" i="30" s="1"/>
  <c r="H10" i="42"/>
  <c r="E67" i="30"/>
  <c r="E68" i="30"/>
  <c r="E69" i="30" s="1"/>
  <c r="F66" i="30" s="1"/>
  <c r="E78" i="30"/>
  <c r="E79" i="30"/>
  <c r="E80" i="30" s="1"/>
  <c r="F77" i="30" s="1"/>
  <c r="AO10" i="39"/>
  <c r="C35" i="30"/>
  <c r="C36" i="30" s="1"/>
  <c r="D33" i="30" s="1"/>
  <c r="C85" i="30"/>
  <c r="C23" i="30"/>
  <c r="C34" i="30"/>
  <c r="C45" i="30"/>
  <c r="E24" i="30"/>
  <c r="E25" i="30" s="1"/>
  <c r="F22" i="30" s="1"/>
  <c r="C46" i="30"/>
  <c r="C47" i="30" s="1"/>
  <c r="D44" i="30" s="1"/>
  <c r="F45" i="30"/>
  <c r="G21" i="30"/>
  <c r="G32" i="30"/>
  <c r="G43" i="30"/>
  <c r="U59" i="1"/>
  <c r="C12" i="30"/>
  <c r="B27" i="34"/>
  <c r="C13" i="30"/>
  <c r="C14" i="30" s="1"/>
  <c r="D11" i="30" s="1"/>
  <c r="D96" i="30" s="1"/>
  <c r="D13" i="22"/>
  <c r="E13" i="22" s="1"/>
  <c r="Y10" i="36"/>
  <c r="J19" i="34"/>
  <c r="J18" i="34"/>
  <c r="J17" i="34"/>
  <c r="J16" i="34"/>
  <c r="C71" i="42" s="1"/>
  <c r="J20" i="34"/>
  <c r="R20" i="34" s="1"/>
  <c r="C93" i="42" s="1"/>
  <c r="E73" i="34"/>
  <c r="H6" i="17"/>
  <c r="D19" i="17"/>
  <c r="H8" i="17"/>
  <c r="V59" i="1"/>
  <c r="D10" i="30"/>
  <c r="F24" i="30" l="1"/>
  <c r="F25" i="30" s="1"/>
  <c r="G22" i="30" s="1"/>
  <c r="G97" i="30" s="1"/>
  <c r="AB9" i="2" s="1"/>
  <c r="Y8" i="2"/>
  <c r="Q8" i="2" s="1"/>
  <c r="P9" i="2"/>
  <c r="B47" i="34" s="1"/>
  <c r="G47" i="34" s="1"/>
  <c r="F56" i="30"/>
  <c r="G34" i="30"/>
  <c r="G86" i="30"/>
  <c r="G18" i="42" s="1"/>
  <c r="G24" i="30"/>
  <c r="G25" i="30" s="1"/>
  <c r="H22" i="30" s="1"/>
  <c r="H97" i="30" s="1"/>
  <c r="AC9" i="2" s="1"/>
  <c r="G85" i="30"/>
  <c r="G46" i="30"/>
  <c r="G47" i="30" s="1"/>
  <c r="H44" i="30" s="1"/>
  <c r="H99" i="30" s="1"/>
  <c r="G87" i="30"/>
  <c r="G19" i="42" s="1"/>
  <c r="G57" i="30"/>
  <c r="G58" i="30" s="1"/>
  <c r="H55" i="30" s="1"/>
  <c r="H100" i="30" s="1"/>
  <c r="G88" i="30"/>
  <c r="G20" i="42" s="1"/>
  <c r="G79" i="30"/>
  <c r="G80" i="30" s="1"/>
  <c r="H77" i="30" s="1"/>
  <c r="H102" i="30" s="1"/>
  <c r="G90" i="30"/>
  <c r="G22" i="42" s="1"/>
  <c r="G68" i="30"/>
  <c r="G69" i="30" s="1"/>
  <c r="H66" i="30" s="1"/>
  <c r="H101" i="30" s="1"/>
  <c r="G89" i="30"/>
  <c r="G21" i="42" s="1"/>
  <c r="F78" i="30"/>
  <c r="F102" i="30"/>
  <c r="D34" i="30"/>
  <c r="D98" i="30"/>
  <c r="F67" i="30"/>
  <c r="F101" i="30"/>
  <c r="D45" i="30"/>
  <c r="D99" i="30"/>
  <c r="F34" i="30"/>
  <c r="F98" i="30"/>
  <c r="F23" i="30"/>
  <c r="F97" i="30"/>
  <c r="AA9" i="2" s="1"/>
  <c r="G78" i="30"/>
  <c r="H7" i="30"/>
  <c r="H9" i="30" s="1"/>
  <c r="H11" i="42"/>
  <c r="BH108" i="39"/>
  <c r="BH106" i="39"/>
  <c r="H62" i="30"/>
  <c r="H65" i="30" s="1"/>
  <c r="H73" i="30"/>
  <c r="H76" i="30" s="1"/>
  <c r="H51" i="30"/>
  <c r="H54" i="30" s="1"/>
  <c r="BH66" i="39"/>
  <c r="BH60" i="39"/>
  <c r="BH52" i="39"/>
  <c r="BH59" i="39"/>
  <c r="BH88" i="39"/>
  <c r="BH97" i="39"/>
  <c r="BH96" i="39"/>
  <c r="BH57" i="39"/>
  <c r="BH98" i="39"/>
  <c r="BH95" i="39"/>
  <c r="BH28" i="39"/>
  <c r="BH53" i="39"/>
  <c r="BH45" i="39"/>
  <c r="BH69" i="39"/>
  <c r="BH56" i="39"/>
  <c r="BH103" i="39"/>
  <c r="BH21" i="39"/>
  <c r="BH13" i="39"/>
  <c r="BH58" i="39"/>
  <c r="BH20" i="39"/>
  <c r="BH93" i="39"/>
  <c r="BH91" i="39"/>
  <c r="BH31" i="39"/>
  <c r="BH42" i="39"/>
  <c r="BH79" i="39"/>
  <c r="BH34" i="39"/>
  <c r="BH75" i="39"/>
  <c r="BH51" i="39"/>
  <c r="BH77" i="39"/>
  <c r="BH43" i="39"/>
  <c r="BH17" i="39"/>
  <c r="BH100" i="39"/>
  <c r="BH82" i="39"/>
  <c r="BH71" i="39"/>
  <c r="BH48" i="39"/>
  <c r="BH41" i="39"/>
  <c r="BH90" i="39"/>
  <c r="BH27" i="39"/>
  <c r="BH24" i="39"/>
  <c r="BH86" i="39"/>
  <c r="BH33" i="39"/>
  <c r="BH73" i="39"/>
  <c r="BH102" i="39"/>
  <c r="BH32" i="39"/>
  <c r="BH84" i="39"/>
  <c r="BH30" i="39"/>
  <c r="BH46" i="39"/>
  <c r="BH68" i="39"/>
  <c r="BH64" i="39"/>
  <c r="BH36" i="39"/>
  <c r="BH70" i="39"/>
  <c r="BH50" i="39"/>
  <c r="BH54" i="39"/>
  <c r="BH26" i="39"/>
  <c r="BH63" i="39"/>
  <c r="BH25" i="39"/>
  <c r="BH81" i="39"/>
  <c r="BH18" i="39"/>
  <c r="BH89" i="39"/>
  <c r="BH16" i="39"/>
  <c r="BH94" i="39"/>
  <c r="BH38" i="39"/>
  <c r="BH105" i="39"/>
  <c r="BH22" i="39"/>
  <c r="BH55" i="39"/>
  <c r="BH15" i="39"/>
  <c r="BH14" i="39"/>
  <c r="BH23" i="39"/>
  <c r="BH62" i="39"/>
  <c r="BH29" i="39"/>
  <c r="BH47" i="39"/>
  <c r="BH78" i="39"/>
  <c r="BH74" i="39"/>
  <c r="BH87" i="39"/>
  <c r="BH72" i="39"/>
  <c r="BH39" i="39"/>
  <c r="BH40" i="39"/>
  <c r="BH104" i="39"/>
  <c r="BH19" i="39"/>
  <c r="BH83" i="39"/>
  <c r="BH92" i="39"/>
  <c r="BH85" i="39"/>
  <c r="BH99" i="39"/>
  <c r="BH101" i="39"/>
  <c r="BH61" i="39"/>
  <c r="BH49" i="39"/>
  <c r="BH76" i="39"/>
  <c r="BH44" i="39"/>
  <c r="BH65" i="39"/>
  <c r="BH80" i="39"/>
  <c r="BH35" i="39"/>
  <c r="BH67" i="39"/>
  <c r="BH37" i="39"/>
  <c r="H40" i="30"/>
  <c r="H43" i="30" s="1"/>
  <c r="H18" i="30"/>
  <c r="G56" i="30"/>
  <c r="G67" i="30"/>
  <c r="R18" i="34"/>
  <c r="C91" i="42" s="1"/>
  <c r="C73" i="42"/>
  <c r="R19" i="34"/>
  <c r="C92" i="42" s="1"/>
  <c r="C74" i="42"/>
  <c r="R17" i="34"/>
  <c r="C90" i="42" s="1"/>
  <c r="C72" i="42"/>
  <c r="B28" i="34"/>
  <c r="B34" i="34" s="1"/>
  <c r="B9" i="34" s="1"/>
  <c r="C17" i="42"/>
  <c r="C23" i="42" s="1"/>
  <c r="C28" i="34"/>
  <c r="D17" i="42"/>
  <c r="C92" i="30"/>
  <c r="G35" i="30"/>
  <c r="G36" i="30" s="1"/>
  <c r="H33" i="30" s="1"/>
  <c r="H98" i="30" s="1"/>
  <c r="H32" i="30"/>
  <c r="H86" i="30" s="1"/>
  <c r="H18" i="42" s="1"/>
  <c r="G45" i="30"/>
  <c r="L10" i="36"/>
  <c r="S10" i="36" s="1"/>
  <c r="F73" i="34"/>
  <c r="X18" i="2"/>
  <c r="B46" i="34"/>
  <c r="Q13" i="37"/>
  <c r="J13" i="37"/>
  <c r="R16" i="34"/>
  <c r="C89" i="42" s="1"/>
  <c r="G73" i="34"/>
  <c r="D20" i="17"/>
  <c r="D21" i="17"/>
  <c r="E19" i="17"/>
  <c r="Q9" i="2"/>
  <c r="E10" i="30"/>
  <c r="G23" i="30" l="1"/>
  <c r="P18" i="2"/>
  <c r="H21" i="30"/>
  <c r="H24" i="30" s="1"/>
  <c r="H25" i="30" s="1"/>
  <c r="H20" i="30"/>
  <c r="H46" i="30"/>
  <c r="H47" i="30" s="1"/>
  <c r="H87" i="30"/>
  <c r="H19" i="42" s="1"/>
  <c r="H68" i="30"/>
  <c r="H69" i="30" s="1"/>
  <c r="H89" i="30"/>
  <c r="H21" i="42" s="1"/>
  <c r="H57" i="30"/>
  <c r="H58" i="30" s="1"/>
  <c r="H88" i="30"/>
  <c r="H20" i="42" s="1"/>
  <c r="H79" i="30"/>
  <c r="H80" i="30" s="1"/>
  <c r="H90" i="30"/>
  <c r="H22" i="42" s="1"/>
  <c r="N11" i="33"/>
  <c r="J12" i="34" s="1"/>
  <c r="N9" i="33"/>
  <c r="Z9" i="34" s="1"/>
  <c r="T10" i="39"/>
  <c r="AV10" i="39" s="1"/>
  <c r="B55" i="34"/>
  <c r="B11" i="34" s="1"/>
  <c r="C39" i="42" s="1"/>
  <c r="H78" i="30"/>
  <c r="H56" i="30"/>
  <c r="C41" i="42"/>
  <c r="C60" i="42" s="1"/>
  <c r="C37" i="42"/>
  <c r="H67" i="30"/>
  <c r="D28" i="34"/>
  <c r="E17" i="42"/>
  <c r="Z10" i="36"/>
  <c r="K13" i="37" s="1"/>
  <c r="AB10" i="39"/>
  <c r="H45" i="30"/>
  <c r="H34" i="30"/>
  <c r="H35" i="30"/>
  <c r="H36" i="30" s="1"/>
  <c r="M10" i="36"/>
  <c r="T10" i="36" s="1"/>
  <c r="D84" i="30"/>
  <c r="D13" i="30"/>
  <c r="D14" i="30" s="1"/>
  <c r="E11" i="30" s="1"/>
  <c r="E96" i="30" s="1"/>
  <c r="D12" i="30"/>
  <c r="K19" i="34"/>
  <c r="K16" i="34"/>
  <c r="D71" i="42" s="1"/>
  <c r="K18" i="34"/>
  <c r="K20" i="34"/>
  <c r="S20" i="34" s="1"/>
  <c r="D93" i="42" s="1"/>
  <c r="K17" i="34"/>
  <c r="E20" i="17"/>
  <c r="E21" i="17"/>
  <c r="F19" i="17"/>
  <c r="E48" i="17"/>
  <c r="C48" i="17" s="1"/>
  <c r="R9" i="2"/>
  <c r="F10" i="30"/>
  <c r="Z8" i="2" l="1"/>
  <c r="R8" i="2" s="1"/>
  <c r="R12" i="34"/>
  <c r="C85" i="42" s="1"/>
  <c r="C67" i="42"/>
  <c r="H85" i="30"/>
  <c r="H23" i="30"/>
  <c r="F10" i="39"/>
  <c r="AH10" i="39" s="1"/>
  <c r="BC10" i="39" s="1"/>
  <c r="R13" i="37"/>
  <c r="C98" i="42"/>
  <c r="S19" i="34"/>
  <c r="D92" i="42" s="1"/>
  <c r="D74" i="42"/>
  <c r="S17" i="34"/>
  <c r="D90" i="42" s="1"/>
  <c r="D72" i="42"/>
  <c r="S18" i="34"/>
  <c r="D91" i="42" s="1"/>
  <c r="D73" i="42"/>
  <c r="E28" i="34"/>
  <c r="F17" i="42"/>
  <c r="C27" i="34"/>
  <c r="C34" i="34" s="1"/>
  <c r="C9" i="34" s="1"/>
  <c r="D16" i="42"/>
  <c r="D23" i="42" s="1"/>
  <c r="AP10" i="39"/>
  <c r="AA10" i="36"/>
  <c r="Q44" i="40" s="1"/>
  <c r="AC10" i="39"/>
  <c r="U10" i="39"/>
  <c r="G10" i="39" s="1"/>
  <c r="AI10" i="39" s="1"/>
  <c r="BD10" i="39" s="1"/>
  <c r="N10" i="36"/>
  <c r="U10" i="36" s="1"/>
  <c r="D92" i="30"/>
  <c r="E84" i="30"/>
  <c r="E16" i="42" s="1"/>
  <c r="E23" i="42" s="1"/>
  <c r="E12" i="30"/>
  <c r="E13" i="30"/>
  <c r="E14" i="30" s="1"/>
  <c r="F11" i="30" s="1"/>
  <c r="F96" i="30" s="1"/>
  <c r="S16" i="34"/>
  <c r="D89" i="42" s="1"/>
  <c r="L16" i="34"/>
  <c r="E71" i="42" s="1"/>
  <c r="L20" i="34"/>
  <c r="T20" i="34" s="1"/>
  <c r="E93" i="42" s="1"/>
  <c r="L19" i="34"/>
  <c r="L18" i="34"/>
  <c r="L17" i="34"/>
  <c r="C32" i="17"/>
  <c r="D32" i="17"/>
  <c r="E32" i="17"/>
  <c r="F32" i="17"/>
  <c r="G32" i="17"/>
  <c r="F21" i="17"/>
  <c r="F20" i="17"/>
  <c r="G19" i="17"/>
  <c r="E54" i="17"/>
  <c r="C54" i="17" s="1"/>
  <c r="E53" i="17"/>
  <c r="C53" i="17" s="1"/>
  <c r="E56" i="17"/>
  <c r="C56" i="17" s="1"/>
  <c r="E55" i="17"/>
  <c r="C55" i="17" s="1"/>
  <c r="E52" i="17"/>
  <c r="E49" i="17"/>
  <c r="C49" i="17" s="1"/>
  <c r="S9" i="2"/>
  <c r="G10" i="30"/>
  <c r="AA8" i="2" l="1"/>
  <c r="S8" i="2" s="1"/>
  <c r="O9" i="33"/>
  <c r="AA9" i="34" s="1"/>
  <c r="O11" i="33"/>
  <c r="K12" i="34" s="1"/>
  <c r="Q38" i="40"/>
  <c r="X38" i="40" s="1"/>
  <c r="Q39" i="40"/>
  <c r="AE39" i="40" s="1"/>
  <c r="S13" i="37"/>
  <c r="L13" i="37"/>
  <c r="Q43" i="40"/>
  <c r="X43" i="40" s="1"/>
  <c r="Q42" i="40"/>
  <c r="X42" i="40" s="1"/>
  <c r="Q40" i="40"/>
  <c r="AE40" i="40" s="1"/>
  <c r="Q45" i="40"/>
  <c r="AE45" i="40" s="1"/>
  <c r="D37" i="42"/>
  <c r="T19" i="34"/>
  <c r="E92" i="42" s="1"/>
  <c r="E74" i="42"/>
  <c r="T17" i="34"/>
  <c r="E90" i="42" s="1"/>
  <c r="E72" i="42"/>
  <c r="T18" i="34"/>
  <c r="E91" i="42" s="1"/>
  <c r="E73" i="42"/>
  <c r="F28" i="34"/>
  <c r="G17" i="42"/>
  <c r="AQ10" i="39"/>
  <c r="V10" i="39"/>
  <c r="H10" i="39" s="1"/>
  <c r="AJ10" i="39" s="1"/>
  <c r="BE10" i="39" s="1"/>
  <c r="AW10" i="39"/>
  <c r="AB10" i="36"/>
  <c r="R44" i="40" s="1"/>
  <c r="AD10" i="39"/>
  <c r="AR10" i="39" s="1"/>
  <c r="Q41" i="40"/>
  <c r="X41" i="40" s="1"/>
  <c r="AE44" i="40"/>
  <c r="X44" i="40"/>
  <c r="O10" i="36"/>
  <c r="V10" i="36" s="1"/>
  <c r="C47" i="34"/>
  <c r="Y18" i="2"/>
  <c r="C31" i="17"/>
  <c r="F84" i="30"/>
  <c r="F13" i="30"/>
  <c r="F14" i="30" s="1"/>
  <c r="G11" i="30" s="1"/>
  <c r="G96" i="30" s="1"/>
  <c r="F12" i="30"/>
  <c r="D27" i="34"/>
  <c r="D34" i="34" s="1"/>
  <c r="D9" i="34" s="1"/>
  <c r="E92" i="30"/>
  <c r="T16" i="34"/>
  <c r="E89" i="42" s="1"/>
  <c r="M16" i="34"/>
  <c r="F71" i="42" s="1"/>
  <c r="M20" i="34"/>
  <c r="U20" i="34" s="1"/>
  <c r="F93" i="42" s="1"/>
  <c r="M19" i="34"/>
  <c r="M18" i="34"/>
  <c r="M17" i="34"/>
  <c r="E30" i="17"/>
  <c r="E31" i="17"/>
  <c r="G28" i="17"/>
  <c r="C28" i="17"/>
  <c r="D28" i="17"/>
  <c r="E28" i="17"/>
  <c r="F28" i="17"/>
  <c r="G29" i="17"/>
  <c r="D31" i="17"/>
  <c r="D30" i="17"/>
  <c r="L11" i="36" s="1"/>
  <c r="G30" i="17"/>
  <c r="F31" i="17"/>
  <c r="C33" i="17"/>
  <c r="C29" i="17"/>
  <c r="D29" i="17"/>
  <c r="D33" i="17"/>
  <c r="E29" i="17"/>
  <c r="E33" i="17"/>
  <c r="F33" i="17"/>
  <c r="F29" i="17"/>
  <c r="G33" i="17"/>
  <c r="F30" i="17"/>
  <c r="N11" i="36" s="1"/>
  <c r="C30" i="17"/>
  <c r="K11" i="36" s="1"/>
  <c r="G31" i="17"/>
  <c r="H29" i="17"/>
  <c r="H32" i="17"/>
  <c r="H28" i="17"/>
  <c r="H31" i="17"/>
  <c r="H33" i="17"/>
  <c r="H30" i="17"/>
  <c r="P11" i="36" s="1"/>
  <c r="F22" i="17"/>
  <c r="D22" i="17"/>
  <c r="E22" i="17"/>
  <c r="G22" i="17"/>
  <c r="C22" i="17"/>
  <c r="H22" i="17"/>
  <c r="G21" i="17"/>
  <c r="G20" i="17"/>
  <c r="H19" i="17"/>
  <c r="C52" i="17"/>
  <c r="E51" i="17"/>
  <c r="C51" i="17" s="1"/>
  <c r="E50" i="17"/>
  <c r="C50" i="17" s="1"/>
  <c r="T9" i="2"/>
  <c r="H10" i="30"/>
  <c r="AB8" i="2" l="1"/>
  <c r="T8" i="2" s="1"/>
  <c r="S12" i="34"/>
  <c r="D85" i="42" s="1"/>
  <c r="D67" i="42"/>
  <c r="P9" i="33"/>
  <c r="AB9" i="34" s="1"/>
  <c r="P11" i="33"/>
  <c r="L12" i="34" s="1"/>
  <c r="AE38" i="40"/>
  <c r="X39" i="40"/>
  <c r="X40" i="40"/>
  <c r="X45" i="40"/>
  <c r="AE43" i="40"/>
  <c r="AE42" i="40"/>
  <c r="R39" i="40"/>
  <c r="AF39" i="40" s="1"/>
  <c r="T13" i="37"/>
  <c r="M13" i="37"/>
  <c r="R41" i="40"/>
  <c r="AF41" i="40" s="1"/>
  <c r="D98" i="42"/>
  <c r="R45" i="40"/>
  <c r="Y45" i="40" s="1"/>
  <c r="E37" i="42"/>
  <c r="R40" i="40"/>
  <c r="AF40" i="40" s="1"/>
  <c r="AX10" i="39"/>
  <c r="U18" i="34"/>
  <c r="F91" i="42" s="1"/>
  <c r="F73" i="42"/>
  <c r="U17" i="34"/>
  <c r="F90" i="42" s="1"/>
  <c r="F72" i="42"/>
  <c r="U19" i="34"/>
  <c r="F92" i="42" s="1"/>
  <c r="F74" i="42"/>
  <c r="G28" i="34"/>
  <c r="H17" i="42"/>
  <c r="E27" i="34"/>
  <c r="E34" i="34" s="1"/>
  <c r="E9" i="34" s="1"/>
  <c r="F16" i="42"/>
  <c r="F23" i="42" s="1"/>
  <c r="AE41" i="40"/>
  <c r="W10" i="39"/>
  <c r="AC10" i="36"/>
  <c r="S40" i="40" s="1"/>
  <c r="AE10" i="39"/>
  <c r="R43" i="40"/>
  <c r="AF43" i="40" s="1"/>
  <c r="R38" i="40"/>
  <c r="Y38" i="40" s="1"/>
  <c r="R42" i="40"/>
  <c r="Y42" i="40" s="1"/>
  <c r="Y44" i="40"/>
  <c r="AF44" i="40"/>
  <c r="AJ6" i="40"/>
  <c r="AC6" i="40"/>
  <c r="AI6" i="40"/>
  <c r="AB6" i="40"/>
  <c r="N9" i="36"/>
  <c r="U9" i="36" s="1"/>
  <c r="P9" i="36"/>
  <c r="W9" i="36" s="1"/>
  <c r="O11" i="36"/>
  <c r="V11" i="36" s="1"/>
  <c r="P10" i="36"/>
  <c r="W10" i="36" s="1"/>
  <c r="M9" i="36"/>
  <c r="T9" i="36" s="1"/>
  <c r="L9" i="36"/>
  <c r="S9" i="36" s="1"/>
  <c r="T12" i="36"/>
  <c r="M11" i="36"/>
  <c r="T11" i="36" s="1"/>
  <c r="K9" i="36"/>
  <c r="R9" i="36" s="1"/>
  <c r="AA9" i="39" s="1"/>
  <c r="O9" i="36"/>
  <c r="V9" i="36" s="1"/>
  <c r="C46" i="34"/>
  <c r="Q18" i="2"/>
  <c r="D47" i="34"/>
  <c r="Z18" i="2"/>
  <c r="V12" i="36"/>
  <c r="F92" i="30"/>
  <c r="G84" i="30"/>
  <c r="G16" i="42" s="1"/>
  <c r="G23" i="42" s="1"/>
  <c r="G13" i="30"/>
  <c r="G14" i="30" s="1"/>
  <c r="H11" i="30" s="1"/>
  <c r="H96" i="30" s="1"/>
  <c r="G12" i="30"/>
  <c r="U16" i="34"/>
  <c r="F89" i="42" s="1"/>
  <c r="N17" i="34"/>
  <c r="N16" i="34"/>
  <c r="G71" i="42" s="1"/>
  <c r="N20" i="34"/>
  <c r="V20" i="34" s="1"/>
  <c r="G93" i="42" s="1"/>
  <c r="N19" i="34"/>
  <c r="N18" i="34"/>
  <c r="R11" i="36"/>
  <c r="AA11" i="39" s="1"/>
  <c r="R12" i="36"/>
  <c r="AA12" i="39" s="1"/>
  <c r="U12" i="36"/>
  <c r="U11" i="36"/>
  <c r="C27" i="17"/>
  <c r="K6" i="36" s="1"/>
  <c r="R6" i="36" s="1"/>
  <c r="D27" i="17"/>
  <c r="L6" i="36" s="1"/>
  <c r="S6" i="36" s="1"/>
  <c r="E27" i="17"/>
  <c r="M6" i="36" s="1"/>
  <c r="T6" i="36" s="1"/>
  <c r="F27" i="17"/>
  <c r="N6" i="36" s="1"/>
  <c r="U6" i="36" s="1"/>
  <c r="G27" i="17"/>
  <c r="O6" i="36" s="1"/>
  <c r="V6" i="36" s="1"/>
  <c r="S12" i="36"/>
  <c r="S11" i="36"/>
  <c r="H27" i="17"/>
  <c r="P7" i="36" s="1"/>
  <c r="W7" i="36" s="1"/>
  <c r="W11" i="36"/>
  <c r="W12" i="36"/>
  <c r="E24" i="17"/>
  <c r="H24" i="17"/>
  <c r="D24" i="17"/>
  <c r="F24" i="17"/>
  <c r="G24" i="17"/>
  <c r="C24" i="17"/>
  <c r="F26" i="17"/>
  <c r="F25" i="17" s="1"/>
  <c r="D26" i="17"/>
  <c r="D25" i="17" s="1"/>
  <c r="E26" i="17"/>
  <c r="E25" i="17" s="1"/>
  <c r="G26" i="17"/>
  <c r="G25" i="17" s="1"/>
  <c r="H26" i="17"/>
  <c r="H25" i="17" s="1"/>
  <c r="C26" i="17"/>
  <c r="C25" i="17" s="1"/>
  <c r="E23" i="17"/>
  <c r="H23" i="17"/>
  <c r="F23" i="17"/>
  <c r="D23" i="17"/>
  <c r="C23" i="17"/>
  <c r="G23" i="17"/>
  <c r="H21" i="17"/>
  <c r="H20" i="17"/>
  <c r="U9" i="2"/>
  <c r="AC8" i="2" l="1"/>
  <c r="U8" i="2" s="1"/>
  <c r="T12" i="34"/>
  <c r="E85" i="42" s="1"/>
  <c r="E67" i="42"/>
  <c r="P6" i="36"/>
  <c r="W6" i="36" s="1"/>
  <c r="AF6" i="39" s="1"/>
  <c r="D9" i="22"/>
  <c r="E9" i="22" s="1"/>
  <c r="Y6" i="36"/>
  <c r="C28" i="42" s="1"/>
  <c r="M7" i="36"/>
  <c r="T7" i="36" s="1"/>
  <c r="AA7" i="36" s="1"/>
  <c r="E29" i="42" s="1"/>
  <c r="O7" i="36"/>
  <c r="V7" i="36" s="1"/>
  <c r="AC7" i="36" s="1"/>
  <c r="G29" i="42" s="1"/>
  <c r="K7" i="36"/>
  <c r="R7" i="36" s="1"/>
  <c r="AA7" i="39" s="1"/>
  <c r="AO7" i="39" s="1"/>
  <c r="AD6" i="39"/>
  <c r="AR6" i="39" s="1"/>
  <c r="AB6" i="36"/>
  <c r="F28" i="42" s="1"/>
  <c r="Z6" i="36"/>
  <c r="D28" i="42" s="1"/>
  <c r="AB6" i="39"/>
  <c r="AP6" i="39" s="1"/>
  <c r="AA6" i="36"/>
  <c r="E28" i="42" s="1"/>
  <c r="AC6" i="39"/>
  <c r="AE6" i="39"/>
  <c r="AS6" i="39" s="1"/>
  <c r="AC6" i="36"/>
  <c r="N7" i="36"/>
  <c r="U7" i="36" s="1"/>
  <c r="AB7" i="36" s="1"/>
  <c r="F29" i="42" s="1"/>
  <c r="AA6" i="39"/>
  <c r="AO6" i="39" s="1"/>
  <c r="L7" i="36"/>
  <c r="S7" i="36" s="1"/>
  <c r="I16" i="41"/>
  <c r="I15" i="41"/>
  <c r="I8" i="41"/>
  <c r="I13" i="41"/>
  <c r="I76" i="41"/>
  <c r="I45" i="41"/>
  <c r="I61" i="41"/>
  <c r="I31" i="41"/>
  <c r="I72" i="41"/>
  <c r="I60" i="41"/>
  <c r="I100" i="41"/>
  <c r="I66" i="41"/>
  <c r="I46" i="41"/>
  <c r="I105" i="41"/>
  <c r="I87" i="41"/>
  <c r="I47" i="41"/>
  <c r="I86" i="41"/>
  <c r="I28" i="41"/>
  <c r="I11" i="41"/>
  <c r="I30" i="41"/>
  <c r="I23" i="41"/>
  <c r="I83" i="41"/>
  <c r="I26" i="41"/>
  <c r="I101" i="41"/>
  <c r="I21" i="41"/>
  <c r="I67" i="41"/>
  <c r="I54" i="41"/>
  <c r="I77" i="41"/>
  <c r="I69" i="41"/>
  <c r="I96" i="41"/>
  <c r="I32" i="41"/>
  <c r="I64" i="41"/>
  <c r="I9" i="41"/>
  <c r="I49" i="41"/>
  <c r="I81" i="41"/>
  <c r="I14" i="41"/>
  <c r="I82" i="41"/>
  <c r="I58" i="41"/>
  <c r="I70" i="41"/>
  <c r="I29" i="41"/>
  <c r="I68" i="41"/>
  <c r="I33" i="41"/>
  <c r="I38" i="41"/>
  <c r="I79" i="41"/>
  <c r="I84" i="41"/>
  <c r="I48" i="41"/>
  <c r="I39" i="41"/>
  <c r="I50" i="41"/>
  <c r="I12" i="41"/>
  <c r="I44" i="41"/>
  <c r="I17" i="41"/>
  <c r="I95" i="41"/>
  <c r="I22" i="41"/>
  <c r="I102" i="41"/>
  <c r="I99" i="41"/>
  <c r="I35" i="41"/>
  <c r="I57" i="41"/>
  <c r="I41" i="41"/>
  <c r="I88" i="41"/>
  <c r="I63" i="41"/>
  <c r="I92" i="41"/>
  <c r="I74" i="41"/>
  <c r="I25" i="41"/>
  <c r="I56" i="41"/>
  <c r="I20" i="41"/>
  <c r="I59" i="41"/>
  <c r="I93" i="41"/>
  <c r="I42" i="41"/>
  <c r="I78" i="41"/>
  <c r="I55" i="41"/>
  <c r="I37" i="41"/>
  <c r="I103" i="41"/>
  <c r="I19" i="41"/>
  <c r="I94" i="41"/>
  <c r="I106" i="41"/>
  <c r="I34" i="41"/>
  <c r="I65" i="41"/>
  <c r="I73" i="41"/>
  <c r="I80" i="41"/>
  <c r="I24" i="41"/>
  <c r="I104" i="41"/>
  <c r="I40" i="41"/>
  <c r="I90" i="41"/>
  <c r="I18" i="41"/>
  <c r="I36" i="41"/>
  <c r="I97" i="41"/>
  <c r="I89" i="41"/>
  <c r="I43" i="41"/>
  <c r="I51" i="41"/>
  <c r="I71" i="41"/>
  <c r="I98" i="41"/>
  <c r="I75" i="41"/>
  <c r="I52" i="41"/>
  <c r="I62" i="41"/>
  <c r="I91" i="41"/>
  <c r="I10" i="41"/>
  <c r="I27" i="41"/>
  <c r="I85" i="41"/>
  <c r="I53" i="41"/>
  <c r="J16" i="41"/>
  <c r="J66" i="41"/>
  <c r="J82" i="41"/>
  <c r="J64" i="41"/>
  <c r="J26" i="41"/>
  <c r="J53" i="41"/>
  <c r="J25" i="41"/>
  <c r="J72" i="41"/>
  <c r="J34" i="41"/>
  <c r="J57" i="41"/>
  <c r="J38" i="41"/>
  <c r="J102" i="41"/>
  <c r="J45" i="41"/>
  <c r="J100" i="41"/>
  <c r="J70" i="41"/>
  <c r="J35" i="41"/>
  <c r="J15" i="41"/>
  <c r="J27" i="41"/>
  <c r="J92" i="41"/>
  <c r="J50" i="41"/>
  <c r="J71" i="41"/>
  <c r="J22" i="41"/>
  <c r="J40" i="41"/>
  <c r="J97" i="41"/>
  <c r="J93" i="41"/>
  <c r="J105" i="41"/>
  <c r="J48" i="41"/>
  <c r="J44" i="41"/>
  <c r="J91" i="41"/>
  <c r="J39" i="41"/>
  <c r="J85" i="41"/>
  <c r="J13" i="41"/>
  <c r="J78" i="41"/>
  <c r="J62" i="41"/>
  <c r="J69" i="41"/>
  <c r="J104" i="41"/>
  <c r="J67" i="41"/>
  <c r="J51" i="41"/>
  <c r="J21" i="41"/>
  <c r="J52" i="41"/>
  <c r="J99" i="41"/>
  <c r="J94" i="41"/>
  <c r="J58" i="41"/>
  <c r="J55" i="41"/>
  <c r="J90" i="41"/>
  <c r="J84" i="41"/>
  <c r="J65" i="41"/>
  <c r="J9" i="41"/>
  <c r="J17" i="41"/>
  <c r="J88" i="41"/>
  <c r="J98" i="41"/>
  <c r="J76" i="41"/>
  <c r="J74" i="41"/>
  <c r="J96" i="41"/>
  <c r="J30" i="41"/>
  <c r="J42" i="41"/>
  <c r="J37" i="41"/>
  <c r="J95" i="41"/>
  <c r="J49" i="41"/>
  <c r="J81" i="41"/>
  <c r="J31" i="41"/>
  <c r="J75" i="41"/>
  <c r="J20" i="41"/>
  <c r="J103" i="41"/>
  <c r="J10" i="41"/>
  <c r="J11" i="41"/>
  <c r="J18" i="41"/>
  <c r="J73" i="41"/>
  <c r="J86" i="41"/>
  <c r="J29" i="41"/>
  <c r="J106" i="41"/>
  <c r="J101" i="41"/>
  <c r="J56" i="41"/>
  <c r="J23" i="41"/>
  <c r="J89" i="41"/>
  <c r="J79" i="41"/>
  <c r="J60" i="41"/>
  <c r="J68" i="41"/>
  <c r="J12" i="41"/>
  <c r="J36" i="41"/>
  <c r="J46" i="41"/>
  <c r="J87" i="41"/>
  <c r="J54" i="41"/>
  <c r="J8" i="41"/>
  <c r="J14" i="41"/>
  <c r="J19" i="41"/>
  <c r="J80" i="41"/>
  <c r="J41" i="41"/>
  <c r="J63" i="41"/>
  <c r="J24" i="41"/>
  <c r="J47" i="41"/>
  <c r="J77" i="41"/>
  <c r="J28" i="41"/>
  <c r="J32" i="41"/>
  <c r="J43" i="41"/>
  <c r="J61" i="41"/>
  <c r="J59" i="41"/>
  <c r="J83" i="41"/>
  <c r="J33" i="41"/>
  <c r="Q9" i="41"/>
  <c r="Q14" i="41"/>
  <c r="Q92" i="41"/>
  <c r="Q21" i="41"/>
  <c r="Q94" i="41"/>
  <c r="Q89" i="41"/>
  <c r="Q104" i="41"/>
  <c r="Q65" i="41"/>
  <c r="Q45" i="41"/>
  <c r="Q75" i="41"/>
  <c r="Q96" i="41"/>
  <c r="Q55" i="41"/>
  <c r="Q43" i="41"/>
  <c r="Q10" i="41"/>
  <c r="Q12" i="41"/>
  <c r="Q33" i="41"/>
  <c r="Q27" i="41"/>
  <c r="Q32" i="41"/>
  <c r="Q19" i="41"/>
  <c r="Q83" i="41"/>
  <c r="Q38" i="41"/>
  <c r="Q56" i="41"/>
  <c r="Q28" i="41"/>
  <c r="Q103" i="41"/>
  <c r="Q42" i="41"/>
  <c r="Q98" i="41"/>
  <c r="Q7" i="41"/>
  <c r="Q13" i="41"/>
  <c r="Q86" i="41"/>
  <c r="Q48" i="41"/>
  <c r="Q64" i="41"/>
  <c r="Q44" i="41"/>
  <c r="Q106" i="41"/>
  <c r="Q54" i="41"/>
  <c r="Q66" i="41"/>
  <c r="Q80" i="41"/>
  <c r="Q77" i="41"/>
  <c r="Q101" i="41"/>
  <c r="Q93" i="41"/>
  <c r="Q8" i="41"/>
  <c r="Q11" i="41"/>
  <c r="Q35" i="41"/>
  <c r="Q59" i="41"/>
  <c r="Q30" i="41"/>
  <c r="Q90" i="41"/>
  <c r="Q84" i="41"/>
  <c r="Q97" i="41"/>
  <c r="Q52" i="41"/>
  <c r="Q34" i="41"/>
  <c r="Q53" i="41"/>
  <c r="Q82" i="41"/>
  <c r="Q71" i="41"/>
  <c r="Q17" i="41"/>
  <c r="Q29" i="41"/>
  <c r="Q22" i="41"/>
  <c r="Q79" i="41"/>
  <c r="Q58" i="41"/>
  <c r="Q74" i="41"/>
  <c r="Q63" i="41"/>
  <c r="Q61" i="41"/>
  <c r="Q49" i="41"/>
  <c r="Q73" i="41"/>
  <c r="Q60" i="41"/>
  <c r="Q87" i="41"/>
  <c r="Q26" i="41"/>
  <c r="Q100" i="41"/>
  <c r="Q40" i="41"/>
  <c r="Q47" i="41"/>
  <c r="Q37" i="41"/>
  <c r="Q67" i="41"/>
  <c r="Q95" i="41"/>
  <c r="Q72" i="41"/>
  <c r="Q31" i="41"/>
  <c r="Q25" i="41"/>
  <c r="Q24" i="41"/>
  <c r="Q78" i="41"/>
  <c r="Q99" i="41"/>
  <c r="Q91" i="41"/>
  <c r="Q70" i="41"/>
  <c r="Q50" i="41"/>
  <c r="Q20" i="41"/>
  <c r="Q76" i="41"/>
  <c r="Q62" i="41"/>
  <c r="Q102" i="41"/>
  <c r="Q69" i="41"/>
  <c r="Q81" i="41"/>
  <c r="Q68" i="41"/>
  <c r="Q41" i="41"/>
  <c r="Q36" i="41"/>
  <c r="Q46" i="41"/>
  <c r="Q57" i="41"/>
  <c r="Q105" i="41"/>
  <c r="Q51" i="41"/>
  <c r="Q39" i="41"/>
  <c r="Q85" i="41"/>
  <c r="Q23" i="41"/>
  <c r="Q88" i="41"/>
  <c r="Q15" i="41"/>
  <c r="Q18" i="41"/>
  <c r="P11" i="41"/>
  <c r="P19" i="41"/>
  <c r="P33" i="41"/>
  <c r="P88" i="41"/>
  <c r="P97" i="41"/>
  <c r="P29" i="41"/>
  <c r="P54" i="41"/>
  <c r="P73" i="41"/>
  <c r="P23" i="41"/>
  <c r="P95" i="41"/>
  <c r="P52" i="41"/>
  <c r="P92" i="41"/>
  <c r="P13" i="41"/>
  <c r="P100" i="41"/>
  <c r="P99" i="41"/>
  <c r="P85" i="41"/>
  <c r="P93" i="41"/>
  <c r="P39" i="41"/>
  <c r="P40" i="41"/>
  <c r="P89" i="41"/>
  <c r="P84" i="41"/>
  <c r="P24" i="41"/>
  <c r="P68" i="41"/>
  <c r="P72" i="41"/>
  <c r="P102" i="41"/>
  <c r="P63" i="41"/>
  <c r="P38" i="41"/>
  <c r="P91" i="41"/>
  <c r="P32" i="41"/>
  <c r="P60" i="41"/>
  <c r="P46" i="41"/>
  <c r="P61" i="41"/>
  <c r="P87" i="41"/>
  <c r="P22" i="41"/>
  <c r="P94" i="41"/>
  <c r="P37" i="41"/>
  <c r="P57" i="41"/>
  <c r="P42" i="41"/>
  <c r="P53" i="41"/>
  <c r="P74" i="41"/>
  <c r="P25" i="41"/>
  <c r="P51" i="41"/>
  <c r="P65" i="41"/>
  <c r="P86" i="41"/>
  <c r="P41" i="41"/>
  <c r="P67" i="41"/>
  <c r="P10" i="41"/>
  <c r="P47" i="41"/>
  <c r="P55" i="41"/>
  <c r="P43" i="41"/>
  <c r="P106" i="41"/>
  <c r="P101" i="41"/>
  <c r="P103" i="41"/>
  <c r="P98" i="41"/>
  <c r="P83" i="41"/>
  <c r="P28" i="41"/>
  <c r="P77" i="41"/>
  <c r="P76" i="41"/>
  <c r="P8" i="41"/>
  <c r="P12" i="41"/>
  <c r="P36" i="41"/>
  <c r="P104" i="41"/>
  <c r="P75" i="41"/>
  <c r="P20" i="41"/>
  <c r="P27" i="41"/>
  <c r="P80" i="41"/>
  <c r="P69" i="41"/>
  <c r="P31" i="41"/>
  <c r="P105" i="41"/>
  <c r="P82" i="41"/>
  <c r="P81" i="41"/>
  <c r="P7" i="41"/>
  <c r="P17" i="41"/>
  <c r="P70" i="41"/>
  <c r="P49" i="41"/>
  <c r="P58" i="41"/>
  <c r="P34" i="41"/>
  <c r="P59" i="41"/>
  <c r="P64" i="41"/>
  <c r="P44" i="41"/>
  <c r="P62" i="41"/>
  <c r="P66" i="41"/>
  <c r="P30" i="41"/>
  <c r="P26" i="41"/>
  <c r="P9" i="41"/>
  <c r="P14" i="41"/>
  <c r="P35" i="41"/>
  <c r="P21" i="41"/>
  <c r="P71" i="41"/>
  <c r="P78" i="41"/>
  <c r="P56" i="41"/>
  <c r="P50" i="41"/>
  <c r="P79" i="41"/>
  <c r="P90" i="41"/>
  <c r="P48" i="41"/>
  <c r="P96" i="41"/>
  <c r="P45" i="41"/>
  <c r="P15" i="41"/>
  <c r="P18" i="41"/>
  <c r="F37" i="42"/>
  <c r="Q9" i="33"/>
  <c r="AC9" i="34" s="1"/>
  <c r="Q11" i="33"/>
  <c r="M12" i="34" s="1"/>
  <c r="AF45" i="40"/>
  <c r="Y39" i="40"/>
  <c r="C55" i="34"/>
  <c r="Y41" i="40"/>
  <c r="Y43" i="40"/>
  <c r="Y40" i="40"/>
  <c r="E98" i="42"/>
  <c r="AI407" i="40"/>
  <c r="P16" i="41"/>
  <c r="AJ407" i="40"/>
  <c r="Q16" i="41"/>
  <c r="V18" i="34"/>
  <c r="G91" i="42" s="1"/>
  <c r="G73" i="42"/>
  <c r="V17" i="34"/>
  <c r="G90" i="42" s="1"/>
  <c r="G72" i="42"/>
  <c r="V19" i="34"/>
  <c r="G92" i="42" s="1"/>
  <c r="G74" i="42"/>
  <c r="AO12" i="39"/>
  <c r="AC12" i="36"/>
  <c r="S55" i="40" s="1"/>
  <c r="AE12" i="39"/>
  <c r="S38" i="40"/>
  <c r="AG38" i="40" s="1"/>
  <c r="N13" i="37"/>
  <c r="AC9" i="36"/>
  <c r="S33" i="40" s="1"/>
  <c r="AE9" i="39"/>
  <c r="AB9" i="36"/>
  <c r="R35" i="40" s="1"/>
  <c r="AD9" i="39"/>
  <c r="S39" i="40"/>
  <c r="AG39" i="40" s="1"/>
  <c r="AQ6" i="39"/>
  <c r="AB11" i="36"/>
  <c r="AD11" i="39"/>
  <c r="U13" i="37"/>
  <c r="X10" i="39" s="1"/>
  <c r="J10" i="39" s="1"/>
  <c r="AL10" i="39" s="1"/>
  <c r="BG10" i="39" s="1"/>
  <c r="Z7" i="36"/>
  <c r="D29" i="42" s="1"/>
  <c r="AB7" i="39"/>
  <c r="S43" i="40"/>
  <c r="AG43" i="40" s="1"/>
  <c r="Z12" i="36"/>
  <c r="AB12" i="39"/>
  <c r="AD11" i="36"/>
  <c r="AF11" i="39"/>
  <c r="AA9" i="36"/>
  <c r="Q36" i="40" s="1"/>
  <c r="AC9" i="39"/>
  <c r="Z11" i="36"/>
  <c r="AB11" i="39"/>
  <c r="AB12" i="36"/>
  <c r="M15" i="37" s="1"/>
  <c r="AD12" i="39"/>
  <c r="AC7" i="39"/>
  <c r="AD10" i="36"/>
  <c r="T38" i="40" s="1"/>
  <c r="AF10" i="39"/>
  <c r="S41" i="40"/>
  <c r="AG41" i="40" s="1"/>
  <c r="AS10" i="39"/>
  <c r="AO9" i="39"/>
  <c r="AO11" i="39"/>
  <c r="AC11" i="36"/>
  <c r="AE11" i="39"/>
  <c r="AF42" i="40"/>
  <c r="S42" i="40"/>
  <c r="Z42" i="40" s="1"/>
  <c r="J9" i="37"/>
  <c r="Q9" i="37"/>
  <c r="T6" i="39" s="1"/>
  <c r="F6" i="39" s="1"/>
  <c r="R9" i="37"/>
  <c r="U6" i="39" s="1"/>
  <c r="G6" i="39" s="1"/>
  <c r="AI6" i="39" s="1"/>
  <c r="BD6" i="39" s="1"/>
  <c r="K9" i="37"/>
  <c r="AA12" i="36"/>
  <c r="Q61" i="40" s="1"/>
  <c r="AC12" i="39"/>
  <c r="AD9" i="36"/>
  <c r="T34" i="40" s="1"/>
  <c r="AF9" i="39"/>
  <c r="AF38" i="40"/>
  <c r="AA11" i="36"/>
  <c r="AC11" i="39"/>
  <c r="AD12" i="36"/>
  <c r="T55" i="40" s="1"/>
  <c r="AF12" i="39"/>
  <c r="Z9" i="36"/>
  <c r="K12" i="37" s="1"/>
  <c r="AB9" i="39"/>
  <c r="AD7" i="36"/>
  <c r="H29" i="42" s="1"/>
  <c r="AF7" i="39"/>
  <c r="S44" i="40"/>
  <c r="Z44" i="40" s="1"/>
  <c r="AY10" i="39"/>
  <c r="I10" i="39"/>
  <c r="AK10" i="39" s="1"/>
  <c r="BF10" i="39" s="1"/>
  <c r="AT6" i="39"/>
  <c r="S45" i="40"/>
  <c r="Z45" i="40" s="1"/>
  <c r="Q13" i="40"/>
  <c r="Q10" i="40"/>
  <c r="Q6" i="40"/>
  <c r="Q9" i="40"/>
  <c r="Q8" i="40"/>
  <c r="Q11" i="40"/>
  <c r="Q12" i="40"/>
  <c r="S9" i="37"/>
  <c r="V6" i="39" s="1"/>
  <c r="H6" i="39" s="1"/>
  <c r="AJ6" i="39" s="1"/>
  <c r="BE6" i="39" s="1"/>
  <c r="Q7" i="40"/>
  <c r="L9" i="37"/>
  <c r="AG40" i="40"/>
  <c r="Z40" i="40"/>
  <c r="Y9" i="36"/>
  <c r="D12" i="22"/>
  <c r="E12" i="22" s="1"/>
  <c r="N8" i="36"/>
  <c r="U8" i="36" s="1"/>
  <c r="AD8" i="39" s="1"/>
  <c r="M8" i="36"/>
  <c r="T8" i="36" s="1"/>
  <c r="AC8" i="39" s="1"/>
  <c r="L8" i="36"/>
  <c r="S8" i="36" s="1"/>
  <c r="AB8" i="39" s="1"/>
  <c r="K8" i="36"/>
  <c r="R8" i="36" s="1"/>
  <c r="AA8" i="39" s="1"/>
  <c r="P8" i="36"/>
  <c r="W8" i="36" s="1"/>
  <c r="O8" i="36"/>
  <c r="V8" i="36" s="1"/>
  <c r="AE8" i="39" s="1"/>
  <c r="D46" i="34"/>
  <c r="R18" i="2"/>
  <c r="E47" i="34"/>
  <c r="AA18" i="2"/>
  <c r="D14" i="22"/>
  <c r="E14" i="22" s="1"/>
  <c r="Y11" i="36"/>
  <c r="D15" i="22"/>
  <c r="E15" i="22" s="1"/>
  <c r="Y12" i="36"/>
  <c r="H84" i="30"/>
  <c r="H16" i="42" s="1"/>
  <c r="H23" i="42" s="1"/>
  <c r="H12" i="30"/>
  <c r="H13" i="30"/>
  <c r="H14" i="30" s="1"/>
  <c r="F27" i="34"/>
  <c r="F34" i="34" s="1"/>
  <c r="F9" i="34" s="1"/>
  <c r="G92" i="30"/>
  <c r="V16" i="34"/>
  <c r="G89" i="42" s="1"/>
  <c r="O17" i="34"/>
  <c r="O18" i="34"/>
  <c r="O16" i="34"/>
  <c r="H71" i="42" s="1"/>
  <c r="O20" i="34"/>
  <c r="W20" i="34" s="1"/>
  <c r="H93" i="42" s="1"/>
  <c r="O19" i="34"/>
  <c r="AD6" i="36"/>
  <c r="H28" i="42" s="1"/>
  <c r="U12" i="34" l="1"/>
  <c r="F85" i="42" s="1"/>
  <c r="F67" i="42"/>
  <c r="S13" i="40"/>
  <c r="AG13" i="40" s="1"/>
  <c r="G28" i="42"/>
  <c r="AD7" i="39"/>
  <c r="AR7" i="39" s="1"/>
  <c r="Y7" i="36"/>
  <c r="C29" i="42" s="1"/>
  <c r="S9" i="40"/>
  <c r="Z9" i="40" s="1"/>
  <c r="U9" i="37"/>
  <c r="X6" i="39" s="1"/>
  <c r="J6" i="39" s="1"/>
  <c r="AL6" i="39" s="1"/>
  <c r="BG6" i="39" s="1"/>
  <c r="D10" i="22"/>
  <c r="E10" i="22" s="1"/>
  <c r="S12" i="40"/>
  <c r="Z12" i="40" s="1"/>
  <c r="AE7" i="39"/>
  <c r="AS7" i="39" s="1"/>
  <c r="R8" i="40"/>
  <c r="Y8" i="40" s="1"/>
  <c r="R10" i="40"/>
  <c r="AF10" i="40" s="1"/>
  <c r="T9" i="37"/>
  <c r="W6" i="39" s="1"/>
  <c r="I6" i="39" s="1"/>
  <c r="AK6" i="39" s="1"/>
  <c r="BF6" i="39" s="1"/>
  <c r="S8" i="40"/>
  <c r="AG8" i="40" s="1"/>
  <c r="R12" i="40"/>
  <c r="Y12" i="40" s="1"/>
  <c r="R9" i="40"/>
  <c r="Y9" i="40" s="1"/>
  <c r="M9" i="37"/>
  <c r="R11" i="40"/>
  <c r="AF11" i="40" s="1"/>
  <c r="R6" i="40"/>
  <c r="Y6" i="40" s="1"/>
  <c r="R7" i="40"/>
  <c r="Y7" i="40" s="1"/>
  <c r="R13" i="40"/>
  <c r="AF13" i="40" s="1"/>
  <c r="AH6" i="39"/>
  <c r="BC6" i="39" s="1"/>
  <c r="S6" i="40"/>
  <c r="AG6" i="40" s="1"/>
  <c r="S10" i="40"/>
  <c r="Z10" i="40" s="1"/>
  <c r="S11" i="40"/>
  <c r="Z11" i="40" s="1"/>
  <c r="S7" i="40"/>
  <c r="Z7" i="40" s="1"/>
  <c r="N9" i="37"/>
  <c r="S17" i="40"/>
  <c r="Z17" i="40" s="1"/>
  <c r="G106" i="30"/>
  <c r="R10" i="37"/>
  <c r="U7" i="39" s="1"/>
  <c r="G7" i="39" s="1"/>
  <c r="AI7" i="39" s="1"/>
  <c r="BD7" i="39" s="1"/>
  <c r="D106" i="30"/>
  <c r="L10" i="37"/>
  <c r="E106" i="30"/>
  <c r="T14" i="40"/>
  <c r="AH14" i="40" s="1"/>
  <c r="H106" i="30"/>
  <c r="T10" i="37"/>
  <c r="W7" i="39" s="1"/>
  <c r="F106" i="30"/>
  <c r="R11" i="33"/>
  <c r="N12" i="34" s="1"/>
  <c r="R9" i="33"/>
  <c r="AD9" i="34" s="1"/>
  <c r="T15" i="37"/>
  <c r="R37" i="40"/>
  <c r="Y37" i="40" s="1"/>
  <c r="R36" i="40"/>
  <c r="Y36" i="40" s="1"/>
  <c r="R31" i="40"/>
  <c r="Y31" i="40" s="1"/>
  <c r="Q50" i="40"/>
  <c r="X50" i="40" s="1"/>
  <c r="Z39" i="40"/>
  <c r="Z41" i="40"/>
  <c r="D41" i="42"/>
  <c r="C11" i="34"/>
  <c r="D55" i="34"/>
  <c r="S59" i="40"/>
  <c r="AG59" i="40" s="1"/>
  <c r="T19" i="40"/>
  <c r="AH19" i="40" s="1"/>
  <c r="S57" i="40"/>
  <c r="AG57" i="40" s="1"/>
  <c r="U15" i="37"/>
  <c r="S54" i="40"/>
  <c r="AG54" i="40" s="1"/>
  <c r="V10" i="37"/>
  <c r="Y7" i="39" s="1"/>
  <c r="K7" i="39" s="1"/>
  <c r="AM7" i="39" s="1"/>
  <c r="BH7" i="39" s="1"/>
  <c r="T20" i="40"/>
  <c r="AH20" i="40" s="1"/>
  <c r="O10" i="37"/>
  <c r="T15" i="40"/>
  <c r="AH15" i="40" s="1"/>
  <c r="AG45" i="40"/>
  <c r="S34" i="40"/>
  <c r="AG34" i="40" s="1"/>
  <c r="V13" i="37"/>
  <c r="Q30" i="40"/>
  <c r="AE30" i="40" s="1"/>
  <c r="Q33" i="40"/>
  <c r="AE33" i="40" s="1"/>
  <c r="T33" i="40"/>
  <c r="AA33" i="40" s="1"/>
  <c r="S12" i="37"/>
  <c r="Z43" i="40"/>
  <c r="T21" i="40"/>
  <c r="AH21" i="40" s="1"/>
  <c r="Q60" i="40"/>
  <c r="AE60" i="40" s="1"/>
  <c r="T39" i="40"/>
  <c r="AH39" i="40" s="1"/>
  <c r="R17" i="40"/>
  <c r="Y17" i="40" s="1"/>
  <c r="O13" i="37"/>
  <c r="V15" i="37"/>
  <c r="T36" i="40"/>
  <c r="AH36" i="40" s="1"/>
  <c r="S58" i="40"/>
  <c r="AG58" i="40" s="1"/>
  <c r="R30" i="40"/>
  <c r="AF30" i="40" s="1"/>
  <c r="O12" i="37"/>
  <c r="O15" i="37"/>
  <c r="V12" i="37"/>
  <c r="Y9" i="39" s="1"/>
  <c r="K9" i="39" s="1"/>
  <c r="AM9" i="39" s="1"/>
  <c r="BH9" i="39" s="1"/>
  <c r="T54" i="40"/>
  <c r="AH54" i="40" s="1"/>
  <c r="R20" i="40"/>
  <c r="Y20" i="40" s="1"/>
  <c r="R14" i="37"/>
  <c r="N14" i="37"/>
  <c r="K10" i="37"/>
  <c r="T42" i="40"/>
  <c r="AH42" i="40" s="1"/>
  <c r="T58" i="40"/>
  <c r="AH58" i="40" s="1"/>
  <c r="S60" i="40"/>
  <c r="AG60" i="40" s="1"/>
  <c r="Z38" i="40"/>
  <c r="R16" i="40"/>
  <c r="Y16" i="40" s="1"/>
  <c r="S56" i="40"/>
  <c r="Z56" i="40" s="1"/>
  <c r="N15" i="37"/>
  <c r="K14" i="37"/>
  <c r="T12" i="37"/>
  <c r="M10" i="37"/>
  <c r="T41" i="40"/>
  <c r="AA41" i="40" s="1"/>
  <c r="Q14" i="40"/>
  <c r="AE14" i="40" s="1"/>
  <c r="S61" i="40"/>
  <c r="AG61" i="40" s="1"/>
  <c r="R19" i="40"/>
  <c r="AF19" i="40" s="1"/>
  <c r="L12" i="37"/>
  <c r="T44" i="40"/>
  <c r="AA44" i="40" s="1"/>
  <c r="Q35" i="40"/>
  <c r="AE35" i="40" s="1"/>
  <c r="R21" i="40"/>
  <c r="AF21" i="40" s="1"/>
  <c r="Q46" i="40"/>
  <c r="AE46" i="40" s="1"/>
  <c r="Q48" i="40"/>
  <c r="X48" i="40" s="1"/>
  <c r="T40" i="40"/>
  <c r="AH40" i="40" s="1"/>
  <c r="Q49" i="40"/>
  <c r="X49" i="40" s="1"/>
  <c r="Q32" i="40"/>
  <c r="X32" i="40" s="1"/>
  <c r="R15" i="40"/>
  <c r="Y15" i="40" s="1"/>
  <c r="Q53" i="40"/>
  <c r="X53" i="40" s="1"/>
  <c r="L14" i="37"/>
  <c r="S14" i="37"/>
  <c r="V11" i="39" s="1"/>
  <c r="H11" i="39" s="1"/>
  <c r="AJ11" i="39" s="1"/>
  <c r="BE11" i="39" s="1"/>
  <c r="T31" i="40"/>
  <c r="AH31" i="40" s="1"/>
  <c r="Q52" i="40"/>
  <c r="X52" i="40" s="1"/>
  <c r="R14" i="40"/>
  <c r="AF14" i="40" s="1"/>
  <c r="S16" i="40"/>
  <c r="Z16" i="40" s="1"/>
  <c r="T35" i="40"/>
  <c r="AH35" i="40" s="1"/>
  <c r="Q51" i="40"/>
  <c r="AE51" i="40" s="1"/>
  <c r="Q58" i="40"/>
  <c r="AE58" i="40" s="1"/>
  <c r="T52" i="40"/>
  <c r="AH52" i="40" s="1"/>
  <c r="R49" i="40"/>
  <c r="Y49" i="40" s="1"/>
  <c r="Q21" i="40"/>
  <c r="AE21" i="40" s="1"/>
  <c r="O14" i="37"/>
  <c r="S15" i="37"/>
  <c r="T17" i="40"/>
  <c r="AH17" i="40" s="1"/>
  <c r="T32" i="40"/>
  <c r="AA32" i="40" s="1"/>
  <c r="Q56" i="40"/>
  <c r="AE56" i="40" s="1"/>
  <c r="T47" i="40"/>
  <c r="AH47" i="40" s="1"/>
  <c r="R53" i="40"/>
  <c r="AF53" i="40" s="1"/>
  <c r="Q47" i="40"/>
  <c r="X47" i="40" s="1"/>
  <c r="T57" i="40"/>
  <c r="AA57" i="40" s="1"/>
  <c r="Q34" i="40"/>
  <c r="X34" i="40" s="1"/>
  <c r="AG42" i="40"/>
  <c r="R34" i="40"/>
  <c r="AF34" i="40" s="1"/>
  <c r="R18" i="40"/>
  <c r="AF18" i="40" s="1"/>
  <c r="T48" i="40"/>
  <c r="AH48" i="40" s="1"/>
  <c r="L15" i="37"/>
  <c r="T51" i="40"/>
  <c r="AH51" i="40" s="1"/>
  <c r="R48" i="40"/>
  <c r="Y48" i="40" s="1"/>
  <c r="S48" i="40"/>
  <c r="Z48" i="40" s="1"/>
  <c r="T60" i="40"/>
  <c r="AA60" i="40" s="1"/>
  <c r="T46" i="40"/>
  <c r="AH46" i="40" s="1"/>
  <c r="R52" i="40"/>
  <c r="Y52" i="40" s="1"/>
  <c r="S53" i="40"/>
  <c r="Z53" i="40" s="1"/>
  <c r="S31" i="40"/>
  <c r="Z31" i="40" s="1"/>
  <c r="T50" i="40"/>
  <c r="AH50" i="40" s="1"/>
  <c r="R47" i="40"/>
  <c r="Y47" i="40" s="1"/>
  <c r="S47" i="40"/>
  <c r="AG47" i="40" s="1"/>
  <c r="Q19" i="40"/>
  <c r="X19" i="40" s="1"/>
  <c r="R50" i="40"/>
  <c r="Y50" i="40" s="1"/>
  <c r="M14" i="37"/>
  <c r="T14" i="37"/>
  <c r="S10" i="37"/>
  <c r="V7" i="39" s="1"/>
  <c r="H7" i="39" s="1"/>
  <c r="AJ7" i="39" s="1"/>
  <c r="BE7" i="39" s="1"/>
  <c r="Q55" i="40"/>
  <c r="AE55" i="40" s="1"/>
  <c r="T49" i="40"/>
  <c r="AA49" i="40" s="1"/>
  <c r="R51" i="40"/>
  <c r="Y51" i="40" s="1"/>
  <c r="S46" i="40"/>
  <c r="AG46" i="40" s="1"/>
  <c r="Q15" i="40"/>
  <c r="AE15" i="40" s="1"/>
  <c r="V14" i="37"/>
  <c r="Y11" i="39" s="1"/>
  <c r="K11" i="39" s="1"/>
  <c r="AM11" i="39" s="1"/>
  <c r="BH11" i="39" s="1"/>
  <c r="U14" i="37"/>
  <c r="Q59" i="40"/>
  <c r="AE59" i="40" s="1"/>
  <c r="T53" i="40"/>
  <c r="AA53" i="40" s="1"/>
  <c r="R46" i="40"/>
  <c r="AF46" i="40" s="1"/>
  <c r="S50" i="40"/>
  <c r="AG50" i="40" s="1"/>
  <c r="Q20" i="40"/>
  <c r="AE20" i="40" s="1"/>
  <c r="W12" i="39"/>
  <c r="I12" i="39" s="1"/>
  <c r="AK12" i="39" s="1"/>
  <c r="BF12" i="39" s="1"/>
  <c r="U12" i="39"/>
  <c r="G12" i="39" s="1"/>
  <c r="AI12" i="39" s="1"/>
  <c r="BD12" i="39" s="1"/>
  <c r="S15" i="40"/>
  <c r="AG15" i="40" s="1"/>
  <c r="Q54" i="40"/>
  <c r="X54" i="40" s="1"/>
  <c r="S52" i="40"/>
  <c r="Z52" i="40" s="1"/>
  <c r="Q16" i="40"/>
  <c r="X16" i="40" s="1"/>
  <c r="S30" i="40"/>
  <c r="AG30" i="40" s="1"/>
  <c r="Y12" i="39"/>
  <c r="K12" i="39" s="1"/>
  <c r="AM12" i="39" s="1"/>
  <c r="BH12" i="39" s="1"/>
  <c r="AX6" i="39"/>
  <c r="R57" i="40"/>
  <c r="Y57" i="40" s="1"/>
  <c r="S18" i="40"/>
  <c r="AG18" i="40" s="1"/>
  <c r="S14" i="40"/>
  <c r="AG14" i="40" s="1"/>
  <c r="R60" i="40"/>
  <c r="Y60" i="40" s="1"/>
  <c r="R15" i="37"/>
  <c r="Q57" i="40"/>
  <c r="AE57" i="40" s="1"/>
  <c r="AG44" i="40"/>
  <c r="S51" i="40"/>
  <c r="Z51" i="40" s="1"/>
  <c r="Q17" i="40"/>
  <c r="AE17" i="40" s="1"/>
  <c r="R55" i="40"/>
  <c r="Y55" i="40" s="1"/>
  <c r="AE13" i="40"/>
  <c r="X13" i="40"/>
  <c r="S21" i="40"/>
  <c r="Z21" i="40" s="1"/>
  <c r="G37" i="42"/>
  <c r="T12" i="39"/>
  <c r="F12" i="39" s="1"/>
  <c r="AH12" i="39" s="1"/>
  <c r="BC12" i="39" s="1"/>
  <c r="K15" i="37"/>
  <c r="F98" i="42"/>
  <c r="U10" i="37"/>
  <c r="X7" i="39" s="1"/>
  <c r="J7" i="39" s="1"/>
  <c r="S49" i="40"/>
  <c r="AG49" i="40" s="1"/>
  <c r="Q18" i="40"/>
  <c r="X18" i="40" s="1"/>
  <c r="R54" i="40"/>
  <c r="Y54" i="40" s="1"/>
  <c r="S32" i="40"/>
  <c r="AG32" i="40" s="1"/>
  <c r="AW6" i="39"/>
  <c r="X12" i="39"/>
  <c r="J12" i="39" s="1"/>
  <c r="AL12" i="39" s="1"/>
  <c r="BG12" i="39" s="1"/>
  <c r="R58" i="40"/>
  <c r="Y58" i="40" s="1"/>
  <c r="S37" i="40"/>
  <c r="Z37" i="40" s="1"/>
  <c r="V12" i="39"/>
  <c r="H12" i="39" s="1"/>
  <c r="AJ12" i="39" s="1"/>
  <c r="BE12" i="39" s="1"/>
  <c r="W18" i="34"/>
  <c r="H91" i="42" s="1"/>
  <c r="H73" i="42"/>
  <c r="W17" i="34"/>
  <c r="H90" i="42" s="1"/>
  <c r="H72" i="42"/>
  <c r="W19" i="34"/>
  <c r="H92" i="42" s="1"/>
  <c r="H74" i="42"/>
  <c r="AO8" i="39"/>
  <c r="X8" i="40"/>
  <c r="AE8" i="40"/>
  <c r="AP9" i="39"/>
  <c r="AS11" i="39"/>
  <c r="AP11" i="39"/>
  <c r="AP8" i="39"/>
  <c r="U12" i="37"/>
  <c r="X9" i="39" s="1"/>
  <c r="S19" i="40"/>
  <c r="AG19" i="40" s="1"/>
  <c r="T16" i="40"/>
  <c r="AH16" i="40" s="1"/>
  <c r="T30" i="40"/>
  <c r="AA30" i="40" s="1"/>
  <c r="T43" i="40"/>
  <c r="AH43" i="40" s="1"/>
  <c r="T61" i="40"/>
  <c r="AA61" i="40" s="1"/>
  <c r="Q31" i="40"/>
  <c r="AE31" i="40" s="1"/>
  <c r="R61" i="40"/>
  <c r="Y61" i="40" s="1"/>
  <c r="R32" i="40"/>
  <c r="Y32" i="40" s="1"/>
  <c r="S35" i="40"/>
  <c r="Z35" i="40" s="1"/>
  <c r="N12" i="37"/>
  <c r="X9" i="40"/>
  <c r="AE9" i="40"/>
  <c r="R12" i="37"/>
  <c r="U9" i="39" s="1"/>
  <c r="G9" i="39" s="1"/>
  <c r="AI9" i="39" s="1"/>
  <c r="BD9" i="39" s="1"/>
  <c r="X11" i="39"/>
  <c r="J11" i="39" s="1"/>
  <c r="AL11" i="39" s="1"/>
  <c r="BG11" i="39" s="1"/>
  <c r="U11" i="39"/>
  <c r="G11" i="39" s="1"/>
  <c r="AI11" i="39" s="1"/>
  <c r="BD11" i="39" s="1"/>
  <c r="AP7" i="39"/>
  <c r="AD8" i="36"/>
  <c r="AF8" i="39"/>
  <c r="AQ12" i="39"/>
  <c r="AQ8" i="39"/>
  <c r="M12" i="37"/>
  <c r="S20" i="40"/>
  <c r="Z20" i="40" s="1"/>
  <c r="T18" i="40"/>
  <c r="AH18" i="40" s="1"/>
  <c r="T37" i="40"/>
  <c r="AA37" i="40" s="1"/>
  <c r="T56" i="40"/>
  <c r="AA56" i="40" s="1"/>
  <c r="R56" i="40"/>
  <c r="Y56" i="40" s="1"/>
  <c r="S36" i="40"/>
  <c r="Z36" i="40" s="1"/>
  <c r="X6" i="40"/>
  <c r="AE6" i="40"/>
  <c r="AT12" i="39"/>
  <c r="AV6" i="39"/>
  <c r="AT10" i="39"/>
  <c r="AQ9" i="39"/>
  <c r="AR9" i="39"/>
  <c r="AR8" i="39"/>
  <c r="AE10" i="40"/>
  <c r="X10" i="40"/>
  <c r="Y10" i="39"/>
  <c r="K10" i="39" s="1"/>
  <c r="AM10" i="39" s="1"/>
  <c r="BH10" i="39" s="1"/>
  <c r="V9" i="39"/>
  <c r="H9" i="39" s="1"/>
  <c r="AJ9" i="39" s="1"/>
  <c r="BE9" i="39" s="1"/>
  <c r="W9" i="39"/>
  <c r="I9" i="39" s="1"/>
  <c r="AK9" i="39" s="1"/>
  <c r="BF9" i="39" s="1"/>
  <c r="AS8" i="39"/>
  <c r="X7" i="40"/>
  <c r="AE7" i="40"/>
  <c r="AQ11" i="39"/>
  <c r="AQ7" i="39"/>
  <c r="AT11" i="39"/>
  <c r="AR11" i="39"/>
  <c r="AS12" i="39"/>
  <c r="N10" i="37"/>
  <c r="Q12" i="37"/>
  <c r="T45" i="40"/>
  <c r="AA45" i="40" s="1"/>
  <c r="T59" i="40"/>
  <c r="AA59" i="40" s="1"/>
  <c r="Q37" i="40"/>
  <c r="AE37" i="40" s="1"/>
  <c r="R59" i="40"/>
  <c r="AF59" i="40" s="1"/>
  <c r="R33" i="40"/>
  <c r="AF33" i="40" s="1"/>
  <c r="W11" i="39"/>
  <c r="I11" i="39" s="1"/>
  <c r="AK11" i="39" s="1"/>
  <c r="BF11" i="39" s="1"/>
  <c r="X12" i="40"/>
  <c r="AE12" i="40"/>
  <c r="AT7" i="39"/>
  <c r="AT9" i="39"/>
  <c r="AZ10" i="39"/>
  <c r="AR12" i="39"/>
  <c r="AP12" i="39"/>
  <c r="AS9" i="39"/>
  <c r="AE11" i="40"/>
  <c r="X11" i="40"/>
  <c r="AH38" i="40"/>
  <c r="AA38" i="40"/>
  <c r="AH55" i="40"/>
  <c r="AA55" i="40"/>
  <c r="AF35" i="40"/>
  <c r="Y35" i="40"/>
  <c r="T6" i="40"/>
  <c r="T9" i="40"/>
  <c r="T13" i="40"/>
  <c r="T8" i="40"/>
  <c r="T12" i="40"/>
  <c r="T7" i="40"/>
  <c r="T11" i="40"/>
  <c r="T10" i="40"/>
  <c r="AH34" i="40"/>
  <c r="AA34" i="40"/>
  <c r="AG55" i="40"/>
  <c r="Z55" i="40"/>
  <c r="Z33" i="40"/>
  <c r="AG33" i="40"/>
  <c r="X61" i="40"/>
  <c r="AE61" i="40"/>
  <c r="X36" i="40"/>
  <c r="AE36" i="40"/>
  <c r="J12" i="37"/>
  <c r="Q10" i="37"/>
  <c r="AC8" i="36"/>
  <c r="G110" i="30" s="1"/>
  <c r="V107" i="36"/>
  <c r="AE107" i="39" s="1"/>
  <c r="Z8" i="36"/>
  <c r="S107" i="36"/>
  <c r="AB107" i="39" s="1"/>
  <c r="AB8" i="36"/>
  <c r="U107" i="36"/>
  <c r="AD107" i="39" s="1"/>
  <c r="D11" i="22"/>
  <c r="E11" i="22" s="1"/>
  <c r="R107" i="36"/>
  <c r="AA107" i="39" s="1"/>
  <c r="Y8" i="36"/>
  <c r="AA8" i="36"/>
  <c r="E110" i="30" s="1"/>
  <c r="T107" i="36"/>
  <c r="AC107" i="39" s="1"/>
  <c r="W107" i="36"/>
  <c r="AF107" i="39" s="1"/>
  <c r="E46" i="34"/>
  <c r="S18" i="2"/>
  <c r="F47" i="34"/>
  <c r="AB18" i="2"/>
  <c r="J15" i="37"/>
  <c r="Q15" i="37"/>
  <c r="J14" i="37"/>
  <c r="Q14" i="37"/>
  <c r="O9" i="37"/>
  <c r="V9" i="37"/>
  <c r="Y6" i="39" s="1"/>
  <c r="G27" i="34"/>
  <c r="G34" i="34" s="1"/>
  <c r="G9" i="34" s="1"/>
  <c r="H92" i="30"/>
  <c r="W16" i="34"/>
  <c r="H89" i="42" s="1"/>
  <c r="Z13" i="40" l="1"/>
  <c r="J10" i="37"/>
  <c r="AG12" i="40"/>
  <c r="G114" i="30"/>
  <c r="V12" i="34"/>
  <c r="G85" i="42" s="1"/>
  <c r="G67" i="42"/>
  <c r="AF12" i="40"/>
  <c r="C106" i="30"/>
  <c r="AZ6" i="39"/>
  <c r="Z8" i="40"/>
  <c r="AG9" i="40"/>
  <c r="AG10" i="40"/>
  <c r="Z6" i="40"/>
  <c r="Y13" i="40"/>
  <c r="AF6" i="40"/>
  <c r="AL7" i="39"/>
  <c r="BG7" i="39" s="1"/>
  <c r="AF7" i="40"/>
  <c r="Y10" i="40"/>
  <c r="AF9" i="40"/>
  <c r="AY6" i="39"/>
  <c r="AG11" i="40"/>
  <c r="AF8" i="40"/>
  <c r="AG7" i="40"/>
  <c r="Y11" i="40"/>
  <c r="AG17" i="40"/>
  <c r="AA14" i="40"/>
  <c r="E114" i="30"/>
  <c r="AE50" i="40"/>
  <c r="AH33" i="40"/>
  <c r="AG16" i="40"/>
  <c r="AF31" i="40"/>
  <c r="AF36" i="40"/>
  <c r="Y14" i="40"/>
  <c r="AF47" i="40"/>
  <c r="AF37" i="40"/>
  <c r="S11" i="33"/>
  <c r="O12" i="34" s="1"/>
  <c r="S9" i="33"/>
  <c r="AE9" i="34" s="1"/>
  <c r="AH49" i="40"/>
  <c r="AE49" i="40"/>
  <c r="Z57" i="40"/>
  <c r="AE32" i="40"/>
  <c r="AE34" i="40"/>
  <c r="V11" i="37"/>
  <c r="G41" i="34" s="1"/>
  <c r="AF51" i="40"/>
  <c r="AG48" i="40"/>
  <c r="Z50" i="40"/>
  <c r="T9" i="39"/>
  <c r="F9" i="39" s="1"/>
  <c r="AH9" i="39" s="1"/>
  <c r="BC9" i="39" s="1"/>
  <c r="B40" i="34"/>
  <c r="AG52" i="40"/>
  <c r="T11" i="39"/>
  <c r="F11" i="39" s="1"/>
  <c r="AH11" i="39" s="1"/>
  <c r="BC11" i="39" s="1"/>
  <c r="B41" i="34"/>
  <c r="T7" i="39"/>
  <c r="F7" i="39" s="1"/>
  <c r="AH7" i="39" s="1"/>
  <c r="BC7" i="39" s="1"/>
  <c r="Z47" i="40"/>
  <c r="Z58" i="40"/>
  <c r="AA21" i="40"/>
  <c r="Z18" i="40"/>
  <c r="T27" i="40"/>
  <c r="AH27" i="40" s="1"/>
  <c r="AV12" i="39"/>
  <c r="AZ12" i="39"/>
  <c r="AW12" i="39"/>
  <c r="X58" i="40"/>
  <c r="Z54" i="40"/>
  <c r="AA58" i="40"/>
  <c r="X56" i="40"/>
  <c r="AF17" i="40"/>
  <c r="AH41" i="40"/>
  <c r="AA47" i="40"/>
  <c r="AH60" i="40"/>
  <c r="Y30" i="40"/>
  <c r="Z32" i="40"/>
  <c r="X20" i="40"/>
  <c r="Z34" i="40"/>
  <c r="AF15" i="40"/>
  <c r="Z14" i="40"/>
  <c r="X35" i="40"/>
  <c r="X60" i="40"/>
  <c r="AG21" i="40"/>
  <c r="AF54" i="40"/>
  <c r="AH30" i="40"/>
  <c r="AA17" i="40"/>
  <c r="AA18" i="40"/>
  <c r="AA50" i="40"/>
  <c r="AA52" i="40"/>
  <c r="AH61" i="40"/>
  <c r="Z15" i="40"/>
  <c r="AH53" i="40"/>
  <c r="X21" i="40"/>
  <c r="Z60" i="40"/>
  <c r="X33" i="40"/>
  <c r="AA40" i="40"/>
  <c r="AA51" i="40"/>
  <c r="X17" i="40"/>
  <c r="AA48" i="40"/>
  <c r="Z49" i="40"/>
  <c r="X46" i="40"/>
  <c r="AE52" i="40"/>
  <c r="AF57" i="40"/>
  <c r="AF20" i="40"/>
  <c r="X55" i="40"/>
  <c r="AG37" i="40"/>
  <c r="AF16" i="40"/>
  <c r="AE47" i="40"/>
  <c r="AG53" i="40"/>
  <c r="Z59" i="40"/>
  <c r="Z61" i="40"/>
  <c r="AH45" i="40"/>
  <c r="AA15" i="40"/>
  <c r="Y19" i="40"/>
  <c r="AA19" i="40"/>
  <c r="AG56" i="40"/>
  <c r="Y46" i="40"/>
  <c r="AF48" i="40"/>
  <c r="AH57" i="40"/>
  <c r="AA36" i="40"/>
  <c r="AF55" i="40"/>
  <c r="AE16" i="40"/>
  <c r="Y53" i="40"/>
  <c r="AG51" i="40"/>
  <c r="X15" i="40"/>
  <c r="AA39" i="40"/>
  <c r="AF56" i="40"/>
  <c r="Z46" i="40"/>
  <c r="AH32" i="40"/>
  <c r="AA42" i="40"/>
  <c r="AE19" i="40"/>
  <c r="AA35" i="40"/>
  <c r="AH44" i="40"/>
  <c r="AF60" i="40"/>
  <c r="Y34" i="40"/>
  <c r="AF50" i="40"/>
  <c r="AG35" i="40"/>
  <c r="AF58" i="40"/>
  <c r="AA16" i="40"/>
  <c r="AE54" i="40"/>
  <c r="AH37" i="40"/>
  <c r="E41" i="42"/>
  <c r="D11" i="34"/>
  <c r="D39" i="42"/>
  <c r="E55" i="34"/>
  <c r="E11" i="34" s="1"/>
  <c r="F39" i="42" s="1"/>
  <c r="X37" i="40"/>
  <c r="AF49" i="40"/>
  <c r="X59" i="40"/>
  <c r="Y59" i="40"/>
  <c r="X57" i="40"/>
  <c r="AE48" i="40"/>
  <c r="Y21" i="40"/>
  <c r="AA20" i="40"/>
  <c r="X30" i="40"/>
  <c r="AF52" i="40"/>
  <c r="BA12" i="39"/>
  <c r="Y18" i="40"/>
  <c r="AG31" i="40"/>
  <c r="AA54" i="40"/>
  <c r="AG36" i="40"/>
  <c r="AA31" i="40"/>
  <c r="X31" i="40"/>
  <c r="AA43" i="40"/>
  <c r="X14" i="40"/>
  <c r="AH59" i="40"/>
  <c r="AF61" i="40"/>
  <c r="T25" i="40"/>
  <c r="AA25" i="40" s="1"/>
  <c r="O11" i="37"/>
  <c r="O7" i="37" s="1"/>
  <c r="Z30" i="40"/>
  <c r="T23" i="40"/>
  <c r="AA23" i="40" s="1"/>
  <c r="AD107" i="36"/>
  <c r="Y107" i="39" s="1"/>
  <c r="BA107" i="39" s="1"/>
  <c r="T26" i="40"/>
  <c r="AH26" i="40" s="1"/>
  <c r="AY12" i="39"/>
  <c r="T22" i="40"/>
  <c r="AH22" i="40" s="1"/>
  <c r="T28" i="40"/>
  <c r="AA28" i="40" s="1"/>
  <c r="AA46" i="40"/>
  <c r="AE53" i="40"/>
  <c r="Z19" i="40"/>
  <c r="Y33" i="40"/>
  <c r="AE18" i="40"/>
  <c r="T24" i="40"/>
  <c r="AA24" i="40" s="1"/>
  <c r="X51" i="40"/>
  <c r="AG20" i="40"/>
  <c r="T29" i="40"/>
  <c r="AA29" i="40" s="1"/>
  <c r="AX12" i="39"/>
  <c r="AH56" i="40"/>
  <c r="BA7" i="39"/>
  <c r="D33" i="42"/>
  <c r="F110" i="30"/>
  <c r="F114" i="30" s="1"/>
  <c r="C110" i="30"/>
  <c r="C114" i="30" s="1"/>
  <c r="H110" i="30"/>
  <c r="H114" i="30" s="1"/>
  <c r="AY9" i="39"/>
  <c r="H37" i="42"/>
  <c r="AA13" i="40"/>
  <c r="AH13" i="40"/>
  <c r="D43" i="42"/>
  <c r="D49" i="42" s="1"/>
  <c r="G98" i="42"/>
  <c r="E43" i="42"/>
  <c r="E49" i="42" s="1"/>
  <c r="AX11" i="39"/>
  <c r="F43" i="42"/>
  <c r="F49" i="42" s="1"/>
  <c r="F33" i="42"/>
  <c r="D110" i="30"/>
  <c r="D114" i="30" s="1"/>
  <c r="M15" i="34"/>
  <c r="K15" i="34"/>
  <c r="D70" i="42" s="1"/>
  <c r="L15" i="34"/>
  <c r="E70" i="42" s="1"/>
  <c r="J9" i="39"/>
  <c r="AL9" i="39" s="1"/>
  <c r="BG9" i="39" s="1"/>
  <c r="AZ9" i="39"/>
  <c r="AF32" i="40"/>
  <c r="AY11" i="39"/>
  <c r="AW9" i="39"/>
  <c r="AT107" i="39"/>
  <c r="AP107" i="39"/>
  <c r="AQ107" i="39"/>
  <c r="AZ7" i="39"/>
  <c r="AX9" i="39"/>
  <c r="AR107" i="39"/>
  <c r="AS107" i="39"/>
  <c r="AT8" i="39"/>
  <c r="J11" i="37"/>
  <c r="BA11" i="39"/>
  <c r="Y8" i="39"/>
  <c r="K8" i="39" s="1"/>
  <c r="AM8" i="39" s="1"/>
  <c r="BH8" i="39" s="1"/>
  <c r="AW11" i="39"/>
  <c r="AY7" i="39"/>
  <c r="I7" i="39"/>
  <c r="AK7" i="39" s="1"/>
  <c r="BF7" i="39" s="1"/>
  <c r="AO107" i="39"/>
  <c r="BA9" i="39"/>
  <c r="AX7" i="39"/>
  <c r="K6" i="39"/>
  <c r="AM6" i="39" s="1"/>
  <c r="BH6" i="39" s="1"/>
  <c r="BA6" i="39"/>
  <c r="BA10" i="39"/>
  <c r="AW7" i="39"/>
  <c r="AZ11" i="39"/>
  <c r="S22" i="40"/>
  <c r="S25" i="40"/>
  <c r="S23" i="40"/>
  <c r="S24" i="40"/>
  <c r="S28" i="40"/>
  <c r="S29" i="40"/>
  <c r="S27" i="40"/>
  <c r="S26" i="40"/>
  <c r="AA10" i="40"/>
  <c r="AH10" i="40"/>
  <c r="Q24" i="40"/>
  <c r="Q28" i="40"/>
  <c r="Q22" i="40"/>
  <c r="Q29" i="40"/>
  <c r="Q27" i="40"/>
  <c r="Q23" i="40"/>
  <c r="Q26" i="40"/>
  <c r="Q25" i="40"/>
  <c r="AH6" i="40"/>
  <c r="AA6" i="40"/>
  <c r="AA11" i="40"/>
  <c r="AH11" i="40"/>
  <c r="AA7" i="40"/>
  <c r="AH7" i="40"/>
  <c r="AA12" i="40"/>
  <c r="AH12" i="40"/>
  <c r="R25" i="40"/>
  <c r="R22" i="40"/>
  <c r="R24" i="40"/>
  <c r="R28" i="40"/>
  <c r="R23" i="40"/>
  <c r="R26" i="40"/>
  <c r="R29" i="40"/>
  <c r="R27" i="40"/>
  <c r="AA8" i="40"/>
  <c r="AH8" i="40"/>
  <c r="AA9" i="40"/>
  <c r="AH9" i="40"/>
  <c r="Y107" i="36"/>
  <c r="T107" i="39" s="1"/>
  <c r="F107" i="39" s="1"/>
  <c r="AH107" i="39" s="1"/>
  <c r="BC107" i="39" s="1"/>
  <c r="Q11" i="37"/>
  <c r="M11" i="37"/>
  <c r="M7" i="37" s="1"/>
  <c r="AB107" i="36"/>
  <c r="W107" i="39" s="1"/>
  <c r="I107" i="39" s="1"/>
  <c r="AK107" i="39" s="1"/>
  <c r="BF107" i="39" s="1"/>
  <c r="T11" i="37"/>
  <c r="E37" i="34" s="1"/>
  <c r="Z107" i="36"/>
  <c r="U107" i="39" s="1"/>
  <c r="G107" i="39" s="1"/>
  <c r="AI107" i="39" s="1"/>
  <c r="BD107" i="39" s="1"/>
  <c r="K11" i="37"/>
  <c r="K7" i="37" s="1"/>
  <c r="R11" i="37"/>
  <c r="C37" i="34" s="1"/>
  <c r="S11" i="37"/>
  <c r="D37" i="34" s="1"/>
  <c r="AA107" i="36"/>
  <c r="V107" i="39" s="1"/>
  <c r="H107" i="39" s="1"/>
  <c r="AJ107" i="39" s="1"/>
  <c r="BE107" i="39" s="1"/>
  <c r="L11" i="37"/>
  <c r="L7" i="37" s="1"/>
  <c r="N11" i="37"/>
  <c r="N7" i="37" s="1"/>
  <c r="AC107" i="36"/>
  <c r="X107" i="39" s="1"/>
  <c r="J107" i="39" s="1"/>
  <c r="AL107" i="39" s="1"/>
  <c r="BG107" i="39" s="1"/>
  <c r="U11" i="37"/>
  <c r="F37" i="34" s="1"/>
  <c r="AC18" i="2"/>
  <c r="F46" i="34"/>
  <c r="T18" i="2"/>
  <c r="B37" i="34"/>
  <c r="G37" i="34"/>
  <c r="J7" i="37" l="1"/>
  <c r="W12" i="34"/>
  <c r="H85" i="42" s="1"/>
  <c r="H67" i="42"/>
  <c r="AV9" i="39"/>
  <c r="AV11" i="39"/>
  <c r="V7" i="37"/>
  <c r="G38" i="34"/>
  <c r="AV7" i="39"/>
  <c r="Q7" i="37"/>
  <c r="B39" i="34"/>
  <c r="R7" i="37"/>
  <c r="C39" i="34"/>
  <c r="C40" i="34"/>
  <c r="C38" i="34"/>
  <c r="C41" i="34"/>
  <c r="G39" i="34"/>
  <c r="S7" i="37"/>
  <c r="D39" i="34"/>
  <c r="D41" i="34"/>
  <c r="D38" i="34"/>
  <c r="G40" i="34"/>
  <c r="D40" i="34"/>
  <c r="U7" i="37"/>
  <c r="F41" i="34"/>
  <c r="F39" i="34"/>
  <c r="F40" i="34"/>
  <c r="F38" i="34"/>
  <c r="T7" i="37"/>
  <c r="E40" i="34"/>
  <c r="E38" i="34"/>
  <c r="E41" i="34"/>
  <c r="E39" i="34"/>
  <c r="B38" i="34"/>
  <c r="AA27" i="40"/>
  <c r="K107" i="39"/>
  <c r="AM107" i="39" s="1"/>
  <c r="BH107" i="39" s="1"/>
  <c r="AH25" i="40"/>
  <c r="AH23" i="40"/>
  <c r="AA22" i="40"/>
  <c r="AA26" i="40"/>
  <c r="AH24" i="40"/>
  <c r="AH29" i="40"/>
  <c r="E39" i="42"/>
  <c r="F41" i="42"/>
  <c r="F55" i="34"/>
  <c r="F11" i="34" s="1"/>
  <c r="G39" i="42" s="1"/>
  <c r="AH28" i="40"/>
  <c r="AV107" i="39"/>
  <c r="F70" i="42"/>
  <c r="U15" i="34"/>
  <c r="F88" i="42" s="1"/>
  <c r="C33" i="42"/>
  <c r="T15" i="34"/>
  <c r="E88" i="42" s="1"/>
  <c r="L9" i="34"/>
  <c r="AB11" i="34"/>
  <c r="E33" i="42"/>
  <c r="G33" i="42"/>
  <c r="H33" i="42"/>
  <c r="G43" i="42"/>
  <c r="G49" i="42" s="1"/>
  <c r="Z11" i="34"/>
  <c r="C100" i="42" s="1"/>
  <c r="C43" i="42"/>
  <c r="C49" i="42" s="1"/>
  <c r="M9" i="34"/>
  <c r="AC11" i="34"/>
  <c r="F100" i="42" s="1"/>
  <c r="H98" i="42"/>
  <c r="K9" i="34"/>
  <c r="AA11" i="34"/>
  <c r="S15" i="34"/>
  <c r="D88" i="42" s="1"/>
  <c r="N15" i="34"/>
  <c r="G70" i="42" s="1"/>
  <c r="AY107" i="39"/>
  <c r="W8" i="39"/>
  <c r="BA8" i="39"/>
  <c r="AW107" i="39"/>
  <c r="AZ107" i="39"/>
  <c r="U8" i="39"/>
  <c r="AX107" i="39"/>
  <c r="X8" i="39"/>
  <c r="V8" i="39"/>
  <c r="T8" i="39"/>
  <c r="Y22" i="40"/>
  <c r="AF22" i="40"/>
  <c r="Y27" i="40"/>
  <c r="AF27" i="40"/>
  <c r="AE28" i="40"/>
  <c r="X28" i="40"/>
  <c r="Z29" i="40"/>
  <c r="AG29" i="40"/>
  <c r="X29" i="40"/>
  <c r="AE29" i="40"/>
  <c r="AF25" i="40"/>
  <c r="Y25" i="40"/>
  <c r="Y29" i="40"/>
  <c r="AF29" i="40"/>
  <c r="AE24" i="40"/>
  <c r="X24" i="40"/>
  <c r="Z28" i="40"/>
  <c r="AG28" i="40"/>
  <c r="AE22" i="40"/>
  <c r="X22" i="40"/>
  <c r="AF26" i="40"/>
  <c r="Y26" i="40"/>
  <c r="X25" i="40"/>
  <c r="AE25" i="40"/>
  <c r="AG24" i="40"/>
  <c r="Z24" i="40"/>
  <c r="AF23" i="40"/>
  <c r="M7" i="41" s="1"/>
  <c r="Y23" i="40"/>
  <c r="AE26" i="40"/>
  <c r="X26" i="40"/>
  <c r="AG23" i="40"/>
  <c r="Z23" i="40"/>
  <c r="AG26" i="40"/>
  <c r="Z26" i="40"/>
  <c r="Z27" i="40"/>
  <c r="AG27" i="40"/>
  <c r="AF28" i="40"/>
  <c r="Y28" i="40"/>
  <c r="X23" i="40"/>
  <c r="AE23" i="40"/>
  <c r="Z25" i="40"/>
  <c r="AG25" i="40"/>
  <c r="Y24" i="40"/>
  <c r="AF24" i="40"/>
  <c r="AE27" i="40"/>
  <c r="X27" i="40"/>
  <c r="AG22" i="40"/>
  <c r="Z22" i="40"/>
  <c r="U18" i="2"/>
  <c r="G46" i="34"/>
  <c r="J15" i="34"/>
  <c r="H16" i="41" l="1"/>
  <c r="N13" i="41"/>
  <c r="E18" i="41"/>
  <c r="O16" i="41"/>
  <c r="G11" i="41"/>
  <c r="O15" i="41"/>
  <c r="F15" i="41"/>
  <c r="N18" i="41"/>
  <c r="L13" i="41"/>
  <c r="F16" i="41"/>
  <c r="F14" i="41"/>
  <c r="L7" i="41"/>
  <c r="F7" i="41"/>
  <c r="G7" i="41"/>
  <c r="N17" i="41"/>
  <c r="N7" i="41"/>
  <c r="G9" i="41"/>
  <c r="L8" i="41"/>
  <c r="H15" i="41"/>
  <c r="H12" i="41"/>
  <c r="G10" i="41"/>
  <c r="F8" i="41"/>
  <c r="N9" i="41"/>
  <c r="O7" i="41"/>
  <c r="L9" i="41"/>
  <c r="F12" i="41"/>
  <c r="E7" i="41"/>
  <c r="O9" i="41"/>
  <c r="F9" i="41"/>
  <c r="F10" i="41"/>
  <c r="M14" i="41"/>
  <c r="M9" i="41"/>
  <c r="M10" i="41"/>
  <c r="E9" i="41"/>
  <c r="O10" i="41"/>
  <c r="H7" i="41"/>
  <c r="E8" i="41"/>
  <c r="O8" i="41"/>
  <c r="H10" i="41"/>
  <c r="N8" i="41"/>
  <c r="E10" i="41"/>
  <c r="H9" i="41"/>
  <c r="M8" i="41"/>
  <c r="L18" i="41"/>
  <c r="G18" i="41"/>
  <c r="N10" i="41"/>
  <c r="G8" i="41"/>
  <c r="H8" i="41"/>
  <c r="L10" i="41"/>
  <c r="O17" i="41"/>
  <c r="N16" i="41"/>
  <c r="E11" i="41"/>
  <c r="M18" i="41"/>
  <c r="E16" i="41"/>
  <c r="M11" i="41"/>
  <c r="O14" i="41"/>
  <c r="N12" i="41"/>
  <c r="F18" i="41"/>
  <c r="E14" i="41"/>
  <c r="G13" i="41"/>
  <c r="G16" i="41"/>
  <c r="L16" i="41"/>
  <c r="E15" i="41"/>
  <c r="L12" i="41"/>
  <c r="O11" i="41"/>
  <c r="H13" i="41"/>
  <c r="L17" i="41"/>
  <c r="E12" i="41"/>
  <c r="G17" i="41"/>
  <c r="N11" i="41"/>
  <c r="N15" i="41"/>
  <c r="M16" i="41"/>
  <c r="H14" i="41"/>
  <c r="M12" i="41"/>
  <c r="E13" i="41"/>
  <c r="G12" i="41"/>
  <c r="H18" i="41"/>
  <c r="L15" i="41"/>
  <c r="O18" i="41"/>
  <c r="M15" i="41"/>
  <c r="F17" i="41"/>
  <c r="F13" i="41"/>
  <c r="H11" i="41"/>
  <c r="F11" i="41"/>
  <c r="E17" i="41"/>
  <c r="G14" i="41"/>
  <c r="M17" i="41"/>
  <c r="N14" i="41"/>
  <c r="G15" i="41"/>
  <c r="O13" i="41"/>
  <c r="H17" i="41"/>
  <c r="M13" i="41"/>
  <c r="L11" i="41"/>
  <c r="L14" i="41"/>
  <c r="O12" i="41"/>
  <c r="H77" i="41"/>
  <c r="H57" i="41"/>
  <c r="H69" i="41"/>
  <c r="H51" i="41"/>
  <c r="H60" i="41"/>
  <c r="D42" i="34"/>
  <c r="D10" i="34" s="1"/>
  <c r="G42" i="34"/>
  <c r="G10" i="34" s="1"/>
  <c r="H38" i="42" s="1"/>
  <c r="H47" i="41"/>
  <c r="H28" i="41"/>
  <c r="H41" i="41"/>
  <c r="H31" i="41"/>
  <c r="H85" i="41"/>
  <c r="H89" i="41"/>
  <c r="H79" i="41"/>
  <c r="H94" i="41"/>
  <c r="H95" i="41"/>
  <c r="H37" i="41"/>
  <c r="H102" i="41"/>
  <c r="H92" i="41"/>
  <c r="H44" i="41"/>
  <c r="H82" i="41"/>
  <c r="H22" i="41"/>
  <c r="H34" i="41"/>
  <c r="H52" i="41"/>
  <c r="H20" i="41"/>
  <c r="B42" i="34"/>
  <c r="B10" i="34" s="1"/>
  <c r="H70" i="41"/>
  <c r="H32" i="41"/>
  <c r="H65" i="41"/>
  <c r="H71" i="41"/>
  <c r="H30" i="41"/>
  <c r="H35" i="41"/>
  <c r="H91" i="41"/>
  <c r="H56" i="41"/>
  <c r="H84" i="41"/>
  <c r="H106" i="41"/>
  <c r="H42" i="41"/>
  <c r="H73" i="41"/>
  <c r="H99" i="41"/>
  <c r="H46" i="41"/>
  <c r="H48" i="41"/>
  <c r="H88" i="41"/>
  <c r="H58" i="41"/>
  <c r="H55" i="41"/>
  <c r="H81" i="41"/>
  <c r="H103" i="41"/>
  <c r="H78" i="41"/>
  <c r="H36" i="41"/>
  <c r="H104" i="41"/>
  <c r="H67" i="41"/>
  <c r="H53" i="41"/>
  <c r="H100" i="41"/>
  <c r="H49" i="41"/>
  <c r="H43" i="41"/>
  <c r="H64" i="41"/>
  <c r="H33" i="41"/>
  <c r="H96" i="41"/>
  <c r="H25" i="41"/>
  <c r="H62" i="41"/>
  <c r="H54" i="41"/>
  <c r="H68" i="41"/>
  <c r="H45" i="41"/>
  <c r="H86" i="41"/>
  <c r="H76" i="41"/>
  <c r="H38" i="41"/>
  <c r="H24" i="41"/>
  <c r="H19" i="41"/>
  <c r="H72" i="41"/>
  <c r="H90" i="41"/>
  <c r="H97" i="41"/>
  <c r="F42" i="34"/>
  <c r="F10" i="34" s="1"/>
  <c r="F21" i="34" s="1"/>
  <c r="G47" i="42" s="1"/>
  <c r="G54" i="42" s="1"/>
  <c r="H105" i="41"/>
  <c r="H59" i="41"/>
  <c r="H27" i="41"/>
  <c r="H26" i="41"/>
  <c r="H40" i="41"/>
  <c r="H93" i="41"/>
  <c r="H87" i="41"/>
  <c r="H80" i="41"/>
  <c r="H75" i="41"/>
  <c r="H21" i="41"/>
  <c r="H66" i="41"/>
  <c r="H74" i="41"/>
  <c r="H61" i="41"/>
  <c r="H101" i="41"/>
  <c r="H83" i="41"/>
  <c r="H39" i="41"/>
  <c r="H23" i="41"/>
  <c r="H50" i="41"/>
  <c r="H63" i="41"/>
  <c r="H98" i="41"/>
  <c r="H29" i="41"/>
  <c r="C42" i="34"/>
  <c r="C10" i="34" s="1"/>
  <c r="C21" i="34" s="1"/>
  <c r="D47" i="42" s="1"/>
  <c r="D109" i="42" s="1"/>
  <c r="E42" i="34"/>
  <c r="E10" i="34" s="1"/>
  <c r="O30" i="41"/>
  <c r="O95" i="41"/>
  <c r="O20" i="41"/>
  <c r="O93" i="41"/>
  <c r="O24" i="41"/>
  <c r="O57" i="41"/>
  <c r="O79" i="41"/>
  <c r="O62" i="41"/>
  <c r="O89" i="41"/>
  <c r="O23" i="41"/>
  <c r="O72" i="41"/>
  <c r="O103" i="41"/>
  <c r="O88" i="41"/>
  <c r="O22" i="41"/>
  <c r="O48" i="41"/>
  <c r="O102" i="41"/>
  <c r="O98" i="41"/>
  <c r="O47" i="41"/>
  <c r="O36" i="41"/>
  <c r="O66" i="41"/>
  <c r="O51" i="41"/>
  <c r="O82" i="41"/>
  <c r="O35" i="41"/>
  <c r="O53" i="41"/>
  <c r="O38" i="41"/>
  <c r="O59" i="41"/>
  <c r="O63" i="41"/>
  <c r="O25" i="41"/>
  <c r="O101" i="41"/>
  <c r="O49" i="41"/>
  <c r="O91" i="41"/>
  <c r="O87" i="41"/>
  <c r="O80" i="41"/>
  <c r="O100" i="41"/>
  <c r="O77" i="41"/>
  <c r="O74" i="41"/>
  <c r="O43" i="41"/>
  <c r="O40" i="41"/>
  <c r="O33" i="41"/>
  <c r="O60" i="41"/>
  <c r="O34" i="41"/>
  <c r="O26" i="41"/>
  <c r="O55" i="41"/>
  <c r="O106" i="41"/>
  <c r="O21" i="41"/>
  <c r="O85" i="41"/>
  <c r="O78" i="41"/>
  <c r="O104" i="41"/>
  <c r="O105" i="41"/>
  <c r="O71" i="41"/>
  <c r="O46" i="41"/>
  <c r="O27" i="41"/>
  <c r="O90" i="41"/>
  <c r="O70" i="41"/>
  <c r="O67" i="41"/>
  <c r="O54" i="41"/>
  <c r="O39" i="41"/>
  <c r="O81" i="41"/>
  <c r="O86" i="41"/>
  <c r="O65" i="41"/>
  <c r="O94" i="41"/>
  <c r="O58" i="41"/>
  <c r="O83" i="41"/>
  <c r="O37" i="41"/>
  <c r="O42" i="41"/>
  <c r="O73" i="41"/>
  <c r="O69" i="41"/>
  <c r="O97" i="41"/>
  <c r="O50" i="41"/>
  <c r="O41" i="41"/>
  <c r="O61" i="41"/>
  <c r="O99" i="41"/>
  <c r="O32" i="41"/>
  <c r="O92" i="41"/>
  <c r="O44" i="41"/>
  <c r="O31" i="41"/>
  <c r="O64" i="41"/>
  <c r="O84" i="41"/>
  <c r="AH407" i="40"/>
  <c r="O76" i="41"/>
  <c r="O29" i="41"/>
  <c r="O28" i="41"/>
  <c r="O56" i="41"/>
  <c r="O52" i="41"/>
  <c r="O45" i="41"/>
  <c r="O68" i="41"/>
  <c r="O75" i="41"/>
  <c r="O96" i="41"/>
  <c r="O19" i="41"/>
  <c r="G41" i="42"/>
  <c r="G55" i="34"/>
  <c r="G11" i="34" s="1"/>
  <c r="H39" i="42" s="1"/>
  <c r="J9" i="34"/>
  <c r="C64" i="42" s="1"/>
  <c r="L50" i="41"/>
  <c r="L20" i="41"/>
  <c r="L86" i="41"/>
  <c r="L73" i="41"/>
  <c r="L95" i="41"/>
  <c r="L56" i="41"/>
  <c r="L89" i="41"/>
  <c r="L61" i="41"/>
  <c r="L79" i="41"/>
  <c r="L90" i="41"/>
  <c r="L96" i="41"/>
  <c r="L66" i="41"/>
  <c r="L85" i="41"/>
  <c r="L100" i="41"/>
  <c r="L92" i="41"/>
  <c r="L78" i="41"/>
  <c r="L83" i="41"/>
  <c r="L63" i="41"/>
  <c r="L88" i="41"/>
  <c r="L106" i="41"/>
  <c r="L45" i="41"/>
  <c r="L68" i="41"/>
  <c r="L80" i="41"/>
  <c r="L64" i="41"/>
  <c r="L48" i="41"/>
  <c r="L51" i="41"/>
  <c r="L60" i="41"/>
  <c r="L74" i="41"/>
  <c r="L93" i="41"/>
  <c r="L22" i="41"/>
  <c r="L35" i="41"/>
  <c r="L19" i="41"/>
  <c r="L102" i="41"/>
  <c r="L52" i="41"/>
  <c r="L36" i="41"/>
  <c r="L26" i="41"/>
  <c r="L49" i="41"/>
  <c r="L23" i="41"/>
  <c r="L37" i="41"/>
  <c r="L40" i="41"/>
  <c r="L55" i="41"/>
  <c r="L28" i="41"/>
  <c r="L71" i="41"/>
  <c r="L43" i="41"/>
  <c r="L30" i="41"/>
  <c r="L98" i="41"/>
  <c r="L87" i="41"/>
  <c r="L65" i="41"/>
  <c r="L62" i="41"/>
  <c r="L27" i="41"/>
  <c r="L57" i="41"/>
  <c r="L39" i="41"/>
  <c r="L59" i="41"/>
  <c r="L101" i="41"/>
  <c r="L70" i="41"/>
  <c r="L53" i="41"/>
  <c r="L47" i="41"/>
  <c r="L103" i="41"/>
  <c r="L75" i="41"/>
  <c r="L42" i="41"/>
  <c r="L99" i="41"/>
  <c r="L41" i="41"/>
  <c r="L69" i="41"/>
  <c r="L33" i="41"/>
  <c r="L24" i="41"/>
  <c r="L46" i="41"/>
  <c r="L84" i="41"/>
  <c r="L21" i="41"/>
  <c r="L25" i="41"/>
  <c r="L82" i="41"/>
  <c r="L81" i="41"/>
  <c r="L72" i="41"/>
  <c r="L31" i="41"/>
  <c r="L104" i="41"/>
  <c r="L77" i="41"/>
  <c r="L105" i="41"/>
  <c r="L58" i="41"/>
  <c r="L38" i="41"/>
  <c r="L29" i="41"/>
  <c r="L91" i="41"/>
  <c r="L32" i="41"/>
  <c r="L67" i="41"/>
  <c r="L94" i="41"/>
  <c r="L97" i="41"/>
  <c r="L54" i="41"/>
  <c r="L34" i="41"/>
  <c r="L44" i="41"/>
  <c r="L76" i="41"/>
  <c r="E49" i="41"/>
  <c r="E102" i="41"/>
  <c r="E25" i="41"/>
  <c r="E98" i="41"/>
  <c r="E50" i="41"/>
  <c r="E33" i="41"/>
  <c r="E62" i="41"/>
  <c r="E65" i="41"/>
  <c r="E92" i="41"/>
  <c r="E20" i="41"/>
  <c r="E39" i="41"/>
  <c r="E27" i="41"/>
  <c r="E68" i="41"/>
  <c r="E89" i="41"/>
  <c r="E76" i="41"/>
  <c r="E22" i="41"/>
  <c r="E29" i="41"/>
  <c r="E23" i="41"/>
  <c r="E77" i="41"/>
  <c r="E53" i="41"/>
  <c r="E70" i="41"/>
  <c r="E47" i="41"/>
  <c r="E21" i="41"/>
  <c r="E44" i="41"/>
  <c r="E66" i="41"/>
  <c r="E35" i="41"/>
  <c r="E105" i="41"/>
  <c r="E87" i="41"/>
  <c r="E101" i="41"/>
  <c r="E28" i="41"/>
  <c r="E64" i="41"/>
  <c r="E51" i="41"/>
  <c r="E106" i="41"/>
  <c r="E83" i="41"/>
  <c r="E30" i="41"/>
  <c r="E94" i="41"/>
  <c r="E73" i="41"/>
  <c r="E74" i="41"/>
  <c r="E103" i="41"/>
  <c r="E43" i="41"/>
  <c r="E91" i="41"/>
  <c r="E32" i="41"/>
  <c r="E19" i="41"/>
  <c r="E79" i="41"/>
  <c r="E99" i="41"/>
  <c r="E78" i="41"/>
  <c r="E52" i="41"/>
  <c r="E41" i="41"/>
  <c r="E45" i="41"/>
  <c r="E58" i="41"/>
  <c r="E84" i="41"/>
  <c r="E90" i="41"/>
  <c r="E57" i="41"/>
  <c r="E24" i="41"/>
  <c r="E93" i="41"/>
  <c r="E80" i="41"/>
  <c r="E37" i="41"/>
  <c r="E97" i="41"/>
  <c r="E59" i="41"/>
  <c r="E60" i="41"/>
  <c r="E72" i="41"/>
  <c r="E104" i="41"/>
  <c r="E38" i="41"/>
  <c r="E69" i="41"/>
  <c r="E63" i="41"/>
  <c r="E86" i="41"/>
  <c r="E55" i="41"/>
  <c r="E36" i="41"/>
  <c r="E26" i="41"/>
  <c r="E100" i="41"/>
  <c r="E88" i="41"/>
  <c r="E46" i="41"/>
  <c r="E67" i="41"/>
  <c r="E96" i="41"/>
  <c r="E54" i="41"/>
  <c r="E31" i="41"/>
  <c r="E42" i="41"/>
  <c r="E56" i="41"/>
  <c r="E34" i="41"/>
  <c r="E61" i="41"/>
  <c r="E81" i="41"/>
  <c r="E75" i="41"/>
  <c r="E95" i="41"/>
  <c r="E85" i="41"/>
  <c r="E40" i="41"/>
  <c r="E48" i="41"/>
  <c r="E71" i="41"/>
  <c r="E82" i="41"/>
  <c r="N60" i="41"/>
  <c r="N58" i="41"/>
  <c r="N98" i="41"/>
  <c r="N78" i="41"/>
  <c r="N32" i="41"/>
  <c r="N71" i="41"/>
  <c r="N55" i="41"/>
  <c r="N34" i="41"/>
  <c r="N36" i="41"/>
  <c r="N83" i="41"/>
  <c r="N69" i="41"/>
  <c r="N20" i="41"/>
  <c r="N80" i="41"/>
  <c r="N75" i="41"/>
  <c r="N86" i="41"/>
  <c r="N39" i="41"/>
  <c r="N40" i="41"/>
  <c r="N23" i="41"/>
  <c r="N63" i="41"/>
  <c r="N89" i="41"/>
  <c r="N33" i="41"/>
  <c r="N25" i="41"/>
  <c r="N82" i="41"/>
  <c r="N74" i="41"/>
  <c r="N49" i="41"/>
  <c r="N79" i="41"/>
  <c r="N44" i="41"/>
  <c r="N87" i="41"/>
  <c r="N57" i="41"/>
  <c r="N24" i="41"/>
  <c r="N21" i="41"/>
  <c r="N59" i="41"/>
  <c r="N42" i="41"/>
  <c r="N35" i="41"/>
  <c r="N31" i="41"/>
  <c r="N88" i="41"/>
  <c r="N96" i="41"/>
  <c r="N64" i="41"/>
  <c r="N62" i="41"/>
  <c r="N94" i="41"/>
  <c r="N85" i="41"/>
  <c r="N53" i="41"/>
  <c r="N67" i="41"/>
  <c r="N100" i="41"/>
  <c r="N50" i="41"/>
  <c r="N102" i="41"/>
  <c r="N27" i="41"/>
  <c r="N54" i="41"/>
  <c r="N26" i="41"/>
  <c r="N51" i="41"/>
  <c r="N29" i="41"/>
  <c r="N97" i="41"/>
  <c r="N77" i="41"/>
  <c r="N70" i="41"/>
  <c r="N48" i="41"/>
  <c r="N65" i="41"/>
  <c r="N103" i="41"/>
  <c r="N93" i="41"/>
  <c r="N95" i="41"/>
  <c r="N61" i="41"/>
  <c r="N38" i="41"/>
  <c r="N72" i="41"/>
  <c r="N76" i="41"/>
  <c r="N66" i="41"/>
  <c r="N92" i="41"/>
  <c r="N81" i="41"/>
  <c r="N105" i="41"/>
  <c r="N22" i="41"/>
  <c r="N47" i="41"/>
  <c r="N99" i="41"/>
  <c r="N101" i="41"/>
  <c r="N41" i="41"/>
  <c r="N90" i="41"/>
  <c r="N37" i="41"/>
  <c r="N28" i="41"/>
  <c r="N46" i="41"/>
  <c r="N56" i="41"/>
  <c r="N84" i="41"/>
  <c r="N68" i="41"/>
  <c r="N73" i="41"/>
  <c r="N52" i="41"/>
  <c r="N91" i="41"/>
  <c r="N43" i="41"/>
  <c r="N30" i="41"/>
  <c r="N19" i="41"/>
  <c r="N104" i="41"/>
  <c r="N106" i="41"/>
  <c r="N45" i="41"/>
  <c r="D100" i="42"/>
  <c r="D64" i="42"/>
  <c r="S9" i="34"/>
  <c r="D82" i="42" s="1"/>
  <c r="U9" i="34"/>
  <c r="F82" i="42" s="1"/>
  <c r="F64" i="42"/>
  <c r="H43" i="42"/>
  <c r="H49" i="42" s="1"/>
  <c r="N9" i="34"/>
  <c r="AD11" i="34"/>
  <c r="G100" i="42" s="1"/>
  <c r="E100" i="42"/>
  <c r="F37" i="41"/>
  <c r="F36" i="41"/>
  <c r="F34" i="41"/>
  <c r="F76" i="41"/>
  <c r="F32" i="41"/>
  <c r="F100" i="41"/>
  <c r="F63" i="41"/>
  <c r="F90" i="41"/>
  <c r="F85" i="41"/>
  <c r="F47" i="41"/>
  <c r="F73" i="41"/>
  <c r="F55" i="41"/>
  <c r="F42" i="41"/>
  <c r="F93" i="41"/>
  <c r="F22" i="41"/>
  <c r="F102" i="41"/>
  <c r="F68" i="41"/>
  <c r="F43" i="41"/>
  <c r="F52" i="41"/>
  <c r="F106" i="41"/>
  <c r="F95" i="41"/>
  <c r="F48" i="41"/>
  <c r="F71" i="41"/>
  <c r="F87" i="41"/>
  <c r="F50" i="41"/>
  <c r="F101" i="41"/>
  <c r="F44" i="41"/>
  <c r="F30" i="41"/>
  <c r="F58" i="41"/>
  <c r="F66" i="41"/>
  <c r="F57" i="41"/>
  <c r="F20" i="41"/>
  <c r="F97" i="41"/>
  <c r="F54" i="41"/>
  <c r="F105" i="41"/>
  <c r="F29" i="41"/>
  <c r="F21" i="41"/>
  <c r="F49" i="41"/>
  <c r="F46" i="41"/>
  <c r="F60" i="41"/>
  <c r="F69" i="41"/>
  <c r="F89" i="41"/>
  <c r="F80" i="41"/>
  <c r="F70" i="41"/>
  <c r="F96" i="41"/>
  <c r="F92" i="41"/>
  <c r="F45" i="41"/>
  <c r="F25" i="41"/>
  <c r="F104" i="41"/>
  <c r="F53" i="41"/>
  <c r="F23" i="41"/>
  <c r="F86" i="41"/>
  <c r="F56" i="41"/>
  <c r="F59" i="41"/>
  <c r="F103" i="41"/>
  <c r="F38" i="41"/>
  <c r="F51" i="41"/>
  <c r="F64" i="41"/>
  <c r="F91" i="41"/>
  <c r="F75" i="41"/>
  <c r="F79" i="41"/>
  <c r="F67" i="41"/>
  <c r="F99" i="41"/>
  <c r="F19" i="41"/>
  <c r="F28" i="41"/>
  <c r="F84" i="41"/>
  <c r="F98" i="41"/>
  <c r="F39" i="41"/>
  <c r="F26" i="41"/>
  <c r="F81" i="41"/>
  <c r="F82" i="41"/>
  <c r="F83" i="41"/>
  <c r="F24" i="41"/>
  <c r="F33" i="41"/>
  <c r="F74" i="41"/>
  <c r="F27" i="41"/>
  <c r="F88" i="41"/>
  <c r="F94" i="41"/>
  <c r="F77" i="41"/>
  <c r="F62" i="41"/>
  <c r="F72" i="41"/>
  <c r="F65" i="41"/>
  <c r="F61" i="41"/>
  <c r="F35" i="41"/>
  <c r="F31" i="41"/>
  <c r="F41" i="41"/>
  <c r="F78" i="41"/>
  <c r="F40" i="41"/>
  <c r="E64" i="42"/>
  <c r="T9" i="34"/>
  <c r="G38" i="41"/>
  <c r="G40" i="41"/>
  <c r="G92" i="41"/>
  <c r="G48" i="41"/>
  <c r="G53" i="41"/>
  <c r="G50" i="41"/>
  <c r="G96" i="41"/>
  <c r="G85" i="41"/>
  <c r="G25" i="41"/>
  <c r="G24" i="41"/>
  <c r="G27" i="41"/>
  <c r="G23" i="41"/>
  <c r="G99" i="41"/>
  <c r="G69" i="41"/>
  <c r="G104" i="41"/>
  <c r="G65" i="41"/>
  <c r="G89" i="41"/>
  <c r="G78" i="41"/>
  <c r="G21" i="41"/>
  <c r="G20" i="41"/>
  <c r="G60" i="41"/>
  <c r="G86" i="41"/>
  <c r="G97" i="41"/>
  <c r="G77" i="41"/>
  <c r="G35" i="41"/>
  <c r="G73" i="41"/>
  <c r="G59" i="41"/>
  <c r="G30" i="41"/>
  <c r="G63" i="41"/>
  <c r="G49" i="41"/>
  <c r="G41" i="41"/>
  <c r="G52" i="41"/>
  <c r="G83" i="41"/>
  <c r="G71" i="41"/>
  <c r="G94" i="41"/>
  <c r="G19" i="41"/>
  <c r="G34" i="41"/>
  <c r="G93" i="41"/>
  <c r="G22" i="41"/>
  <c r="G51" i="41"/>
  <c r="G90" i="41"/>
  <c r="G26" i="41"/>
  <c r="G28" i="41"/>
  <c r="G31" i="41"/>
  <c r="G57" i="41"/>
  <c r="G80" i="41"/>
  <c r="G100" i="41"/>
  <c r="G42" i="41"/>
  <c r="G105" i="41"/>
  <c r="G72" i="41"/>
  <c r="G61" i="41"/>
  <c r="G75" i="41"/>
  <c r="G44" i="41"/>
  <c r="G79" i="41"/>
  <c r="G55" i="41"/>
  <c r="G98" i="41"/>
  <c r="G106" i="41"/>
  <c r="G46" i="41"/>
  <c r="G91" i="41"/>
  <c r="G88" i="41"/>
  <c r="G70" i="41"/>
  <c r="G43" i="41"/>
  <c r="G29" i="41"/>
  <c r="G45" i="41"/>
  <c r="G66" i="41"/>
  <c r="G102" i="41"/>
  <c r="G81" i="41"/>
  <c r="G58" i="41"/>
  <c r="G95" i="41"/>
  <c r="G32" i="41"/>
  <c r="G84" i="41"/>
  <c r="G56" i="41"/>
  <c r="G36" i="41"/>
  <c r="G68" i="41"/>
  <c r="G54" i="41"/>
  <c r="G76" i="41"/>
  <c r="G62" i="41"/>
  <c r="G101" i="41"/>
  <c r="G39" i="41"/>
  <c r="G47" i="41"/>
  <c r="G87" i="41"/>
  <c r="G103" i="41"/>
  <c r="G82" i="41"/>
  <c r="G33" i="41"/>
  <c r="G64" i="41"/>
  <c r="G67" i="41"/>
  <c r="G74" i="41"/>
  <c r="G37" i="41"/>
  <c r="M40" i="41"/>
  <c r="M69" i="41"/>
  <c r="M59" i="41"/>
  <c r="M43" i="41"/>
  <c r="M97" i="41"/>
  <c r="M96" i="41"/>
  <c r="M22" i="41"/>
  <c r="M95" i="41"/>
  <c r="M48" i="41"/>
  <c r="M73" i="41"/>
  <c r="M67" i="41"/>
  <c r="M77" i="41"/>
  <c r="M62" i="41"/>
  <c r="M60" i="41"/>
  <c r="M86" i="41"/>
  <c r="M93" i="41"/>
  <c r="M65" i="41"/>
  <c r="M32" i="41"/>
  <c r="M84" i="41"/>
  <c r="M41" i="41"/>
  <c r="M34" i="41"/>
  <c r="M46" i="41"/>
  <c r="M25" i="41"/>
  <c r="M38" i="41"/>
  <c r="M98" i="41"/>
  <c r="M75" i="41"/>
  <c r="M105" i="41"/>
  <c r="M57" i="41"/>
  <c r="M28" i="41"/>
  <c r="M90" i="41"/>
  <c r="M92" i="41"/>
  <c r="M30" i="41"/>
  <c r="M71" i="41"/>
  <c r="M20" i="41"/>
  <c r="M56" i="41"/>
  <c r="M82" i="41"/>
  <c r="M78" i="41"/>
  <c r="M63" i="41"/>
  <c r="M100" i="41"/>
  <c r="M54" i="41"/>
  <c r="M103" i="41"/>
  <c r="M55" i="41"/>
  <c r="M35" i="41"/>
  <c r="M88" i="41"/>
  <c r="M101" i="41"/>
  <c r="M68" i="41"/>
  <c r="M33" i="41"/>
  <c r="M72" i="41"/>
  <c r="M39" i="41"/>
  <c r="M44" i="41"/>
  <c r="M99" i="41"/>
  <c r="M50" i="41"/>
  <c r="M104" i="41"/>
  <c r="M91" i="41"/>
  <c r="M94" i="41"/>
  <c r="M23" i="41"/>
  <c r="M87" i="41"/>
  <c r="M31" i="41"/>
  <c r="M83" i="41"/>
  <c r="M27" i="41"/>
  <c r="M64" i="41"/>
  <c r="M45" i="41"/>
  <c r="M26" i="41"/>
  <c r="M52" i="41"/>
  <c r="M58" i="41"/>
  <c r="M61" i="41"/>
  <c r="M81" i="41"/>
  <c r="M21" i="41"/>
  <c r="M19" i="41"/>
  <c r="M76" i="41"/>
  <c r="M42" i="41"/>
  <c r="M24" i="41"/>
  <c r="M36" i="41"/>
  <c r="M102" i="41"/>
  <c r="M70" i="41"/>
  <c r="M79" i="41"/>
  <c r="M29" i="41"/>
  <c r="M47" i="41"/>
  <c r="M37" i="41"/>
  <c r="M89" i="41"/>
  <c r="M106" i="41"/>
  <c r="M66" i="41"/>
  <c r="M74" i="41"/>
  <c r="M53" i="41"/>
  <c r="M85" i="41"/>
  <c r="M80" i="41"/>
  <c r="M49" i="41"/>
  <c r="M51" i="41"/>
  <c r="O15" i="34"/>
  <c r="H70" i="42" s="1"/>
  <c r="V15" i="34"/>
  <c r="G88" i="42" s="1"/>
  <c r="C70" i="42"/>
  <c r="G8" i="39"/>
  <c r="AI8" i="39" s="1"/>
  <c r="BD8" i="39" s="1"/>
  <c r="AW8" i="39"/>
  <c r="J8" i="39"/>
  <c r="AL8" i="39" s="1"/>
  <c r="BG8" i="39" s="1"/>
  <c r="AZ8" i="39"/>
  <c r="F8" i="39"/>
  <c r="AH8" i="39" s="1"/>
  <c r="BC8" i="39" s="1"/>
  <c r="AV8" i="39"/>
  <c r="I8" i="39"/>
  <c r="AK8" i="39" s="1"/>
  <c r="BF8" i="39" s="1"/>
  <c r="AY8" i="39"/>
  <c r="H8" i="39"/>
  <c r="AJ8" i="39" s="1"/>
  <c r="BE8" i="39" s="1"/>
  <c r="AX8" i="39"/>
  <c r="AG407" i="40"/>
  <c r="AF407" i="40"/>
  <c r="AE407" i="40"/>
  <c r="R15" i="34"/>
  <c r="N10" i="33" l="1"/>
  <c r="J13" i="34" s="1"/>
  <c r="R13" i="34" s="1"/>
  <c r="C86" i="42" s="1"/>
  <c r="C38" i="42"/>
  <c r="C48" i="42" s="1"/>
  <c r="C55" i="42" s="1"/>
  <c r="D77" i="42"/>
  <c r="B21" i="34"/>
  <c r="C47" i="42" s="1"/>
  <c r="C77" i="42" s="1"/>
  <c r="D54" i="42"/>
  <c r="D58" i="42"/>
  <c r="Q10" i="33"/>
  <c r="M11" i="34" s="1"/>
  <c r="F66" i="42" s="1"/>
  <c r="E21" i="34"/>
  <c r="F47" i="42" s="1"/>
  <c r="E38" i="42"/>
  <c r="D21" i="34"/>
  <c r="E47" i="42" s="1"/>
  <c r="D52" i="42"/>
  <c r="S10" i="33"/>
  <c r="O10" i="34" s="1"/>
  <c r="W10" i="34" s="1"/>
  <c r="H83" i="42" s="1"/>
  <c r="P10" i="33"/>
  <c r="L11" i="34" s="1"/>
  <c r="T11" i="34" s="1"/>
  <c r="E84" i="42" s="1"/>
  <c r="D38" i="42"/>
  <c r="O10" i="33"/>
  <c r="K11" i="34" s="1"/>
  <c r="G38" i="42"/>
  <c r="R10" i="33"/>
  <c r="AD10" i="34" s="1"/>
  <c r="G99" i="42" s="1"/>
  <c r="G107" i="42" s="1"/>
  <c r="F38" i="42"/>
  <c r="J10" i="34"/>
  <c r="G52" i="42"/>
  <c r="G58" i="42"/>
  <c r="G109" i="42"/>
  <c r="G77" i="42"/>
  <c r="R9" i="34"/>
  <c r="C82" i="42" s="1"/>
  <c r="O9" i="34"/>
  <c r="AE11" i="34"/>
  <c r="H100" i="42" s="1"/>
  <c r="H41" i="42"/>
  <c r="H44" i="42" s="1"/>
  <c r="E82" i="42"/>
  <c r="G64" i="42"/>
  <c r="V9" i="34"/>
  <c r="G82" i="42" s="1"/>
  <c r="W15" i="34"/>
  <c r="H88" i="42" s="1"/>
  <c r="C88" i="42"/>
  <c r="G21" i="34"/>
  <c r="H47" i="42" s="1"/>
  <c r="Z10" i="34" l="1"/>
  <c r="Z24" i="34" s="1"/>
  <c r="C53" i="42"/>
  <c r="C59" i="42"/>
  <c r="J11" i="34"/>
  <c r="C66" i="42" s="1"/>
  <c r="D44" i="42"/>
  <c r="D48" i="42"/>
  <c r="F44" i="42"/>
  <c r="F48" i="42"/>
  <c r="E44" i="42"/>
  <c r="E48" i="42"/>
  <c r="G44" i="42"/>
  <c r="G48" i="42"/>
  <c r="H48" i="42"/>
  <c r="C68" i="42"/>
  <c r="N11" i="34"/>
  <c r="G66" i="42" s="1"/>
  <c r="S11" i="34"/>
  <c r="D84" i="42" s="1"/>
  <c r="D66" i="42"/>
  <c r="E66" i="42"/>
  <c r="U11" i="34"/>
  <c r="F84" i="42" s="1"/>
  <c r="M10" i="34"/>
  <c r="U10" i="34" s="1"/>
  <c r="F83" i="42" s="1"/>
  <c r="M13" i="34"/>
  <c r="AC10" i="34"/>
  <c r="L10" i="34"/>
  <c r="T10" i="34" s="1"/>
  <c r="E83" i="42" s="1"/>
  <c r="L13" i="34"/>
  <c r="AB10" i="34"/>
  <c r="N10" i="34"/>
  <c r="G65" i="42" s="1"/>
  <c r="N13" i="34"/>
  <c r="K10" i="34"/>
  <c r="D65" i="42" s="1"/>
  <c r="K13" i="34"/>
  <c r="AA10" i="34"/>
  <c r="C109" i="42"/>
  <c r="C52" i="42"/>
  <c r="C54" i="42"/>
  <c r="C58" i="42"/>
  <c r="C44" i="42"/>
  <c r="E52" i="42"/>
  <c r="E54" i="42"/>
  <c r="E109" i="42"/>
  <c r="E77" i="42"/>
  <c r="E58" i="42"/>
  <c r="F58" i="42"/>
  <c r="F52" i="42"/>
  <c r="F109" i="42"/>
  <c r="F77" i="42"/>
  <c r="F54" i="42"/>
  <c r="C65" i="42"/>
  <c r="R10" i="34"/>
  <c r="C83" i="42" s="1"/>
  <c r="H65" i="42"/>
  <c r="G108" i="42"/>
  <c r="AD24" i="34"/>
  <c r="O13" i="34"/>
  <c r="H68" i="42" s="1"/>
  <c r="O11" i="34"/>
  <c r="AE10" i="34"/>
  <c r="H99" i="42" s="1"/>
  <c r="H107" i="42" s="1"/>
  <c r="H64" i="42"/>
  <c r="W9" i="34"/>
  <c r="H82" i="42" s="1"/>
  <c r="H77" i="42"/>
  <c r="H109" i="42"/>
  <c r="H52" i="42"/>
  <c r="H54" i="42"/>
  <c r="H58" i="42"/>
  <c r="C99" i="42" l="1"/>
  <c r="C107" i="42" s="1"/>
  <c r="C108" i="42" s="1"/>
  <c r="J21" i="34"/>
  <c r="R11" i="34"/>
  <c r="C84" i="42" s="1"/>
  <c r="C94" i="42" s="1"/>
  <c r="G53" i="42"/>
  <c r="G55" i="42"/>
  <c r="G59" i="42"/>
  <c r="E53" i="42"/>
  <c r="E55" i="42"/>
  <c r="E59" i="42"/>
  <c r="F53" i="42"/>
  <c r="F55" i="42"/>
  <c r="F59" i="42"/>
  <c r="D53" i="42"/>
  <c r="D55" i="42"/>
  <c r="D59" i="42"/>
  <c r="H53" i="42"/>
  <c r="H55" i="42"/>
  <c r="H59" i="42"/>
  <c r="V11" i="34"/>
  <c r="G84" i="42" s="1"/>
  <c r="V10" i="34"/>
  <c r="G83" i="42" s="1"/>
  <c r="E65" i="42"/>
  <c r="N21" i="34"/>
  <c r="L21" i="34"/>
  <c r="K21" i="34"/>
  <c r="G68" i="42"/>
  <c r="G75" i="42" s="1"/>
  <c r="G76" i="42" s="1"/>
  <c r="V13" i="34"/>
  <c r="G86" i="42" s="1"/>
  <c r="S10" i="34"/>
  <c r="D83" i="42" s="1"/>
  <c r="E99" i="42"/>
  <c r="E107" i="42" s="1"/>
  <c r="E108" i="42" s="1"/>
  <c r="AB24" i="34"/>
  <c r="E68" i="42"/>
  <c r="T13" i="34"/>
  <c r="E86" i="42" s="1"/>
  <c r="F65" i="42"/>
  <c r="D99" i="42"/>
  <c r="D107" i="42" s="1"/>
  <c r="D108" i="42" s="1"/>
  <c r="AA24" i="34"/>
  <c r="F99" i="42"/>
  <c r="F107" i="42" s="1"/>
  <c r="F108" i="42" s="1"/>
  <c r="AC24" i="34"/>
  <c r="M21" i="34"/>
  <c r="D68" i="42"/>
  <c r="D75" i="42" s="1"/>
  <c r="D76" i="42" s="1"/>
  <c r="S13" i="34"/>
  <c r="D86" i="42" s="1"/>
  <c r="F68" i="42"/>
  <c r="U13" i="34"/>
  <c r="C75" i="42"/>
  <c r="C76" i="42" s="1"/>
  <c r="O21" i="34"/>
  <c r="W13" i="34"/>
  <c r="H86" i="42" s="1"/>
  <c r="H66" i="42"/>
  <c r="H75" i="42" s="1"/>
  <c r="H76" i="42" s="1"/>
  <c r="W11" i="34"/>
  <c r="H84" i="42" s="1"/>
  <c r="AE24" i="34"/>
  <c r="H108" i="42"/>
  <c r="R21" i="34" l="1"/>
  <c r="Z23" i="34" s="1"/>
  <c r="F86" i="42"/>
  <c r="F94" i="42" s="1"/>
  <c r="E75" i="42"/>
  <c r="E76" i="42" s="1"/>
  <c r="G94" i="42"/>
  <c r="V21" i="34"/>
  <c r="AD23" i="34" s="1"/>
  <c r="F75" i="42"/>
  <c r="F76" i="42" s="1"/>
  <c r="S21" i="34"/>
  <c r="AA23" i="34" s="1"/>
  <c r="U21" i="34"/>
  <c r="AC23" i="34" s="1"/>
  <c r="E94" i="42"/>
  <c r="T21" i="34"/>
  <c r="AB23" i="34" s="1"/>
  <c r="D94" i="42"/>
  <c r="W21" i="34"/>
  <c r="AE23" i="34" s="1"/>
  <c r="H94" i="4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<sst xmlns="http://schemas.openxmlformats.org/spreadsheetml/2006/main" count="2060" uniqueCount="1552">
  <si>
    <t>Program</t>
  </si>
  <si>
    <t>Description of Training</t>
  </si>
  <si>
    <t>Start Year for Training</t>
  </si>
  <si>
    <t>Training Participants</t>
  </si>
  <si>
    <t>Description</t>
  </si>
  <si>
    <t>Description of cost or activity</t>
  </si>
  <si>
    <t>Start-up or Capital Cost</t>
  </si>
  <si>
    <t>Service / Intervention</t>
  </si>
  <si>
    <t>Target population</t>
  </si>
  <si>
    <t>Service Type</t>
  </si>
  <si>
    <t>Promotional</t>
  </si>
  <si>
    <t>Preventive</t>
  </si>
  <si>
    <t>Curative</t>
  </si>
  <si>
    <t xml:space="preserve">Rehabilitative </t>
  </si>
  <si>
    <t>Target Population Categories</t>
  </si>
  <si>
    <t>Health System Levels</t>
  </si>
  <si>
    <t>All</t>
  </si>
  <si>
    <t>Program Scale-up assumptions</t>
  </si>
  <si>
    <t>Percentage of total male population, by age category &gt;&gt;&gt;&gt;</t>
  </si>
  <si>
    <t>Percentage of total female population, by age category &gt;&gt;&gt;&gt;</t>
  </si>
  <si>
    <t>Source</t>
  </si>
  <si>
    <t>ISO Code</t>
  </si>
  <si>
    <t>Country Code</t>
  </si>
  <si>
    <t>Country Name</t>
  </si>
  <si>
    <t>National Currency</t>
  </si>
  <si>
    <t>National Currency (ISO Code)</t>
  </si>
  <si>
    <t>Total Male Population '000</t>
  </si>
  <si>
    <t>Total Female Population '000</t>
  </si>
  <si>
    <t>Males 0-1</t>
  </si>
  <si>
    <t>Males 0-4</t>
  </si>
  <si>
    <t>0-14</t>
  </si>
  <si>
    <t>0-24</t>
  </si>
  <si>
    <t>Males 5-9</t>
  </si>
  <si>
    <t>Males 5-14</t>
  </si>
  <si>
    <t>Males 15+</t>
  </si>
  <si>
    <t>Males 15-24</t>
  </si>
  <si>
    <t>Males 15-49</t>
  </si>
  <si>
    <t>Males 15-59</t>
  </si>
  <si>
    <t>15-64</t>
  </si>
  <si>
    <t>Males 25-49</t>
  </si>
  <si>
    <t>25-64</t>
  </si>
  <si>
    <t>25-69</t>
  </si>
  <si>
    <t>Males 50+</t>
  </si>
  <si>
    <t>Male 65+</t>
  </si>
  <si>
    <t>Females 0-1</t>
  </si>
  <si>
    <t>Females 0-4</t>
  </si>
  <si>
    <t>Females 5-9</t>
  </si>
  <si>
    <t>Females 5-14</t>
  </si>
  <si>
    <t>Females 15+</t>
  </si>
  <si>
    <t>Females 15-24</t>
  </si>
  <si>
    <t>Females 15-49</t>
  </si>
  <si>
    <t>Females 15-59</t>
  </si>
  <si>
    <t>Females 25-49</t>
  </si>
  <si>
    <t>Females 50+</t>
  </si>
  <si>
    <t>65+</t>
  </si>
  <si>
    <t>AFG</t>
  </si>
  <si>
    <t>Afghanistan</t>
  </si>
  <si>
    <t>Afghani</t>
  </si>
  <si>
    <t>AFN</t>
  </si>
  <si>
    <t>ALB</t>
  </si>
  <si>
    <t>Albania</t>
  </si>
  <si>
    <t>Lek</t>
  </si>
  <si>
    <t>ALL</t>
  </si>
  <si>
    <t>DZA</t>
  </si>
  <si>
    <t>Algeria</t>
  </si>
  <si>
    <t>Algerian Dinar</t>
  </si>
  <si>
    <t>DZD</t>
  </si>
  <si>
    <t>Euro</t>
  </si>
  <si>
    <t>EUR</t>
  </si>
  <si>
    <t>AGO</t>
  </si>
  <si>
    <t>Angola</t>
  </si>
  <si>
    <t>Kwanza</t>
  </si>
  <si>
    <t>AOA</t>
  </si>
  <si>
    <t>ATG</t>
  </si>
  <si>
    <t>Antigua and Barbuda</t>
  </si>
  <si>
    <t>East Caribbean Dollar</t>
  </si>
  <si>
    <t>XCD</t>
  </si>
  <si>
    <t>ARG</t>
  </si>
  <si>
    <t>Argentina</t>
  </si>
  <si>
    <t>Argentine Peso</t>
  </si>
  <si>
    <t>ARS</t>
  </si>
  <si>
    <t>ARM</t>
  </si>
  <si>
    <t>Armenia</t>
  </si>
  <si>
    <t>Armenian Dram</t>
  </si>
  <si>
    <t>AMD</t>
  </si>
  <si>
    <t>AUS</t>
  </si>
  <si>
    <t>Australia</t>
  </si>
  <si>
    <t>Australian Dollar</t>
  </si>
  <si>
    <t>AUD</t>
  </si>
  <si>
    <t>AUT</t>
  </si>
  <si>
    <t>Austria</t>
  </si>
  <si>
    <t>AZE</t>
  </si>
  <si>
    <t>Azerbaijan</t>
  </si>
  <si>
    <t>Azerbaijanian Manat</t>
  </si>
  <si>
    <t>AZN</t>
  </si>
  <si>
    <t>BHS</t>
  </si>
  <si>
    <t>Bahamas</t>
  </si>
  <si>
    <t>Bahamian Dollar</t>
  </si>
  <si>
    <t>BSD</t>
  </si>
  <si>
    <t>BHR</t>
  </si>
  <si>
    <t>Bahrain</t>
  </si>
  <si>
    <t>Bahraini Dinar</t>
  </si>
  <si>
    <t>BHD</t>
  </si>
  <si>
    <t>BGD</t>
  </si>
  <si>
    <t>Bangladesh</t>
  </si>
  <si>
    <t>Bangladeshi Taka</t>
  </si>
  <si>
    <t>BDT</t>
  </si>
  <si>
    <t>BRB</t>
  </si>
  <si>
    <t>Barbados</t>
  </si>
  <si>
    <t>Barbados Dollar</t>
  </si>
  <si>
    <t>BBD</t>
  </si>
  <si>
    <t>BLR</t>
  </si>
  <si>
    <t>Belarus</t>
  </si>
  <si>
    <t>Belarussian Ruble</t>
  </si>
  <si>
    <t>BYR</t>
  </si>
  <si>
    <t>BEL</t>
  </si>
  <si>
    <t>Belgium</t>
  </si>
  <si>
    <t>BLZ</t>
  </si>
  <si>
    <t>Belize</t>
  </si>
  <si>
    <t>Belize Dollar</t>
  </si>
  <si>
    <t>BZD</t>
  </si>
  <si>
    <t>BEN</t>
  </si>
  <si>
    <t>Benin</t>
  </si>
  <si>
    <t>CFA Franc BCEAO</t>
  </si>
  <si>
    <t>XOF</t>
  </si>
  <si>
    <t>BTN</t>
  </si>
  <si>
    <t>Bhutan</t>
  </si>
  <si>
    <t>Ngultrum</t>
  </si>
  <si>
    <t>BOL</t>
  </si>
  <si>
    <t>Bolivia (Plurinational State of)</t>
  </si>
  <si>
    <t>Boliviano</t>
  </si>
  <si>
    <t>BOB</t>
  </si>
  <si>
    <t>BIH</t>
  </si>
  <si>
    <t>Bosnia and Herzegovina</t>
  </si>
  <si>
    <t>Convertible Marks</t>
  </si>
  <si>
    <t>BAM</t>
  </si>
  <si>
    <t>BWA</t>
  </si>
  <si>
    <t>Botswana</t>
  </si>
  <si>
    <t>Pula</t>
  </si>
  <si>
    <t>BWP</t>
  </si>
  <si>
    <t>BRA</t>
  </si>
  <si>
    <t>Brazil</t>
  </si>
  <si>
    <t>Brazilian Real</t>
  </si>
  <si>
    <t>BRL</t>
  </si>
  <si>
    <t>BRN</t>
  </si>
  <si>
    <t>Brunei Darussalam</t>
  </si>
  <si>
    <t>Brunei Dollar</t>
  </si>
  <si>
    <t>BND</t>
  </si>
  <si>
    <t>BGR</t>
  </si>
  <si>
    <t>Bulgaria</t>
  </si>
  <si>
    <t>Bulgarian Lev</t>
  </si>
  <si>
    <t>BGN</t>
  </si>
  <si>
    <t>BFA</t>
  </si>
  <si>
    <t>Burkina Faso</t>
  </si>
  <si>
    <t>BDI</t>
  </si>
  <si>
    <t>Burundi</t>
  </si>
  <si>
    <t>Burundian Franc</t>
  </si>
  <si>
    <t>BIF</t>
  </si>
  <si>
    <t>CPV</t>
  </si>
  <si>
    <t>Cabo Verde</t>
  </si>
  <si>
    <t>Cape Verde Escudo</t>
  </si>
  <si>
    <t>CVE</t>
  </si>
  <si>
    <t>KHM</t>
  </si>
  <si>
    <t>Cambodia</t>
  </si>
  <si>
    <t>Riel</t>
  </si>
  <si>
    <t>KHR</t>
  </si>
  <si>
    <t>CMR</t>
  </si>
  <si>
    <t>Cameroon</t>
  </si>
  <si>
    <t>CFA Franc BEAC</t>
  </si>
  <si>
    <t>XAF</t>
  </si>
  <si>
    <t>CAN</t>
  </si>
  <si>
    <t>Canada</t>
  </si>
  <si>
    <t>Canadian Dollar</t>
  </si>
  <si>
    <t>CAD</t>
  </si>
  <si>
    <t>CAF</t>
  </si>
  <si>
    <t>Central African Republic</t>
  </si>
  <si>
    <t>TCD</t>
  </si>
  <si>
    <t>Chad</t>
  </si>
  <si>
    <t>CHL</t>
  </si>
  <si>
    <t>Chile</t>
  </si>
  <si>
    <t>Unidades de formento (Funds code)</t>
  </si>
  <si>
    <t>CLF</t>
  </si>
  <si>
    <t>CHN</t>
  </si>
  <si>
    <t>China</t>
  </si>
  <si>
    <t>Yuan Renminbi</t>
  </si>
  <si>
    <t>CNY</t>
  </si>
  <si>
    <t>COL</t>
  </si>
  <si>
    <t>Colombia</t>
  </si>
  <si>
    <t>Colombian Peso</t>
  </si>
  <si>
    <t>COP</t>
  </si>
  <si>
    <t>COM</t>
  </si>
  <si>
    <t>Comoros</t>
  </si>
  <si>
    <t>Comoro Franc</t>
  </si>
  <si>
    <t>KMF</t>
  </si>
  <si>
    <t>COG</t>
  </si>
  <si>
    <t>Congo</t>
  </si>
  <si>
    <t>COK</t>
  </si>
  <si>
    <t>Cook Islands</t>
  </si>
  <si>
    <t>New Zealand Dollar</t>
  </si>
  <si>
    <t>NZD</t>
  </si>
  <si>
    <t>CRI</t>
  </si>
  <si>
    <t>Costa Rica</t>
  </si>
  <si>
    <t>Costa Rican Colon</t>
  </si>
  <si>
    <t>CRC</t>
  </si>
  <si>
    <t>CIV</t>
  </si>
  <si>
    <t>Cote d'Ivoire</t>
  </si>
  <si>
    <t>HRV</t>
  </si>
  <si>
    <t>Croatia</t>
  </si>
  <si>
    <t>Croatian Kuna</t>
  </si>
  <si>
    <t>HRK</t>
  </si>
  <si>
    <t>CUB</t>
  </si>
  <si>
    <t>Cuba</t>
  </si>
  <si>
    <t>Cuban Peso</t>
  </si>
  <si>
    <t>CUP</t>
  </si>
  <si>
    <t>CYP</t>
  </si>
  <si>
    <t>Cyprus</t>
  </si>
  <si>
    <t>Cyprus Pound</t>
  </si>
  <si>
    <t>CZE</t>
  </si>
  <si>
    <t>Czech Republic</t>
  </si>
  <si>
    <t>Czech Koruna</t>
  </si>
  <si>
    <t>CZK</t>
  </si>
  <si>
    <t>PRK</t>
  </si>
  <si>
    <t>Democratic People's Republic of Korea</t>
  </si>
  <si>
    <t>North Korean Won</t>
  </si>
  <si>
    <t>KPW</t>
  </si>
  <si>
    <t>COD</t>
  </si>
  <si>
    <t>Democratic Republic of the Congo</t>
  </si>
  <si>
    <t>Franc Congolais</t>
  </si>
  <si>
    <t>CDF</t>
  </si>
  <si>
    <t>DNK</t>
  </si>
  <si>
    <t>Denmark</t>
  </si>
  <si>
    <t>Danish Krone</t>
  </si>
  <si>
    <t>DKK</t>
  </si>
  <si>
    <t>DJI</t>
  </si>
  <si>
    <t>Djibouti</t>
  </si>
  <si>
    <t>Djibouti Franc</t>
  </si>
  <si>
    <t>DJF</t>
  </si>
  <si>
    <t>DOM</t>
  </si>
  <si>
    <t>Dominican Republic</t>
  </si>
  <si>
    <t>Dominican Peso</t>
  </si>
  <si>
    <t>DOP</t>
  </si>
  <si>
    <t>ECU</t>
  </si>
  <si>
    <t>Ecuador</t>
  </si>
  <si>
    <t>US Dollar</t>
  </si>
  <si>
    <t>USD</t>
  </si>
  <si>
    <t>EGY</t>
  </si>
  <si>
    <t>Egypt</t>
  </si>
  <si>
    <t>Egyptian Pound</t>
  </si>
  <si>
    <t>EGP</t>
  </si>
  <si>
    <t>SLV</t>
  </si>
  <si>
    <t>El Salvador</t>
  </si>
  <si>
    <t>GNQ</t>
  </si>
  <si>
    <t>Equatorial Guinea</t>
  </si>
  <si>
    <t>ERI</t>
  </si>
  <si>
    <t>Eritrea</t>
  </si>
  <si>
    <t>Nakfa</t>
  </si>
  <si>
    <t>ERN</t>
  </si>
  <si>
    <t>EST</t>
  </si>
  <si>
    <t>Estonia</t>
  </si>
  <si>
    <t>Kroon</t>
  </si>
  <si>
    <t>EEK</t>
  </si>
  <si>
    <t>ETH</t>
  </si>
  <si>
    <t>Ethiopia</t>
  </si>
  <si>
    <t>Ethiopian Birr</t>
  </si>
  <si>
    <t>ETB</t>
  </si>
  <si>
    <t>FJI</t>
  </si>
  <si>
    <t>Fiji</t>
  </si>
  <si>
    <t>Fiji Dollar</t>
  </si>
  <si>
    <t>FJD</t>
  </si>
  <si>
    <t>FIN</t>
  </si>
  <si>
    <t>Finland</t>
  </si>
  <si>
    <t>FRA</t>
  </si>
  <si>
    <t>France</t>
  </si>
  <si>
    <t>GAB</t>
  </si>
  <si>
    <t>Gabon</t>
  </si>
  <si>
    <t>GMB</t>
  </si>
  <si>
    <t>Gambia</t>
  </si>
  <si>
    <t>Dalasi</t>
  </si>
  <si>
    <t>GMD</t>
  </si>
  <si>
    <t>GEO</t>
  </si>
  <si>
    <t>Georgia</t>
  </si>
  <si>
    <t>Lari</t>
  </si>
  <si>
    <t>GEL</t>
  </si>
  <si>
    <t>DEU</t>
  </si>
  <si>
    <t>Germany</t>
  </si>
  <si>
    <t>GHA</t>
  </si>
  <si>
    <t>Ghana</t>
  </si>
  <si>
    <t>Cedi</t>
  </si>
  <si>
    <t>GHS</t>
  </si>
  <si>
    <t>GRC</t>
  </si>
  <si>
    <t>Greece</t>
  </si>
  <si>
    <t>GRD</t>
  </si>
  <si>
    <t>Grenada</t>
  </si>
  <si>
    <t>GTM</t>
  </si>
  <si>
    <t>Guatemala</t>
  </si>
  <si>
    <t>Quetzal</t>
  </si>
  <si>
    <t>GTQ</t>
  </si>
  <si>
    <t>GIN</t>
  </si>
  <si>
    <t>Guinea</t>
  </si>
  <si>
    <t>Guinea Franc</t>
  </si>
  <si>
    <t>GNF</t>
  </si>
  <si>
    <t>GNB</t>
  </si>
  <si>
    <t>Guinea-Bissau</t>
  </si>
  <si>
    <t>GUY</t>
  </si>
  <si>
    <t>Guyana</t>
  </si>
  <si>
    <t>Guyana Dollar</t>
  </si>
  <si>
    <t>GYD</t>
  </si>
  <si>
    <t>HTI</t>
  </si>
  <si>
    <t>Haiti</t>
  </si>
  <si>
    <t>Haiti Gourde</t>
  </si>
  <si>
    <t>HTG</t>
  </si>
  <si>
    <t>HND</t>
  </si>
  <si>
    <t>Honduras</t>
  </si>
  <si>
    <t>Lempira</t>
  </si>
  <si>
    <t>HNL</t>
  </si>
  <si>
    <t>HUN</t>
  </si>
  <si>
    <t>Hungary</t>
  </si>
  <si>
    <t>Forint</t>
  </si>
  <si>
    <t>HUF</t>
  </si>
  <si>
    <t>ISL</t>
  </si>
  <si>
    <t>Iceland</t>
  </si>
  <si>
    <t>Iceland Krona</t>
  </si>
  <si>
    <t>ISK</t>
  </si>
  <si>
    <t>IND</t>
  </si>
  <si>
    <t>India</t>
  </si>
  <si>
    <t>Indian Rupee</t>
  </si>
  <si>
    <t>INR</t>
  </si>
  <si>
    <t>IDN</t>
  </si>
  <si>
    <t>Indonesia</t>
  </si>
  <si>
    <t>Rupiah</t>
  </si>
  <si>
    <t>IDR</t>
  </si>
  <si>
    <t>IRN</t>
  </si>
  <si>
    <t>Iran (Islamic Republic of)</t>
  </si>
  <si>
    <t>Iranian Rial</t>
  </si>
  <si>
    <t>IRR</t>
  </si>
  <si>
    <t>IRQ</t>
  </si>
  <si>
    <t>Iraq</t>
  </si>
  <si>
    <t>Iraqi Dinar</t>
  </si>
  <si>
    <t>IQD</t>
  </si>
  <si>
    <t>IRL</t>
  </si>
  <si>
    <t>Ireland</t>
  </si>
  <si>
    <t>ISR</t>
  </si>
  <si>
    <t>Israel</t>
  </si>
  <si>
    <t>New Israeli Shekel</t>
  </si>
  <si>
    <t>ILS</t>
  </si>
  <si>
    <t>ITA</t>
  </si>
  <si>
    <t>Italy</t>
  </si>
  <si>
    <t>JAM</t>
  </si>
  <si>
    <t>Jamaica</t>
  </si>
  <si>
    <t>Jamaican Dollar</t>
  </si>
  <si>
    <t>JMD</t>
  </si>
  <si>
    <t>JPN</t>
  </si>
  <si>
    <t>Japan</t>
  </si>
  <si>
    <t>Japanese yen</t>
  </si>
  <si>
    <t>JPY</t>
  </si>
  <si>
    <t>JOR</t>
  </si>
  <si>
    <t>Jordan</t>
  </si>
  <si>
    <t>Jordanian Dinar</t>
  </si>
  <si>
    <t>JOD</t>
  </si>
  <si>
    <t>KAZ</t>
  </si>
  <si>
    <t>Kazakhstan</t>
  </si>
  <si>
    <t>Tenge</t>
  </si>
  <si>
    <t>KZT</t>
  </si>
  <si>
    <t>KEN</t>
  </si>
  <si>
    <t>Kenya</t>
  </si>
  <si>
    <t>Kenyan Shilling</t>
  </si>
  <si>
    <t>KES</t>
  </si>
  <si>
    <t>KIR</t>
  </si>
  <si>
    <t>Kiribati</t>
  </si>
  <si>
    <t>KWT</t>
  </si>
  <si>
    <t>Kuwait</t>
  </si>
  <si>
    <t>Kuwaiti Dinar</t>
  </si>
  <si>
    <t>KWD</t>
  </si>
  <si>
    <t>KGZ</t>
  </si>
  <si>
    <t>Kyrgyzstan</t>
  </si>
  <si>
    <t>Som</t>
  </si>
  <si>
    <t>KGS</t>
  </si>
  <si>
    <t>LAO</t>
  </si>
  <si>
    <t>Lao People's Democratic Republic</t>
  </si>
  <si>
    <t>Kip</t>
  </si>
  <si>
    <t>LAK</t>
  </si>
  <si>
    <t>LVA</t>
  </si>
  <si>
    <t>Latvia</t>
  </si>
  <si>
    <t>Latvian Lats</t>
  </si>
  <si>
    <t>LVL</t>
  </si>
  <si>
    <t>LBN</t>
  </si>
  <si>
    <t>Lebanon</t>
  </si>
  <si>
    <t>Lebanese Pound</t>
  </si>
  <si>
    <t>LBP</t>
  </si>
  <si>
    <t>LSO</t>
  </si>
  <si>
    <t>Lesotho</t>
  </si>
  <si>
    <t>Loti</t>
  </si>
  <si>
    <t>LSL</t>
  </si>
  <si>
    <t>LBR</t>
  </si>
  <si>
    <t>Liberia</t>
  </si>
  <si>
    <t>Liberian Dollar</t>
  </si>
  <si>
    <t>LRD</t>
  </si>
  <si>
    <t>LBY</t>
  </si>
  <si>
    <t>Libya</t>
  </si>
  <si>
    <t>Libyan Dinar</t>
  </si>
  <si>
    <t>LYD</t>
  </si>
  <si>
    <t>LTU</t>
  </si>
  <si>
    <t>Lithuania</t>
  </si>
  <si>
    <t>Lithuanian Litas</t>
  </si>
  <si>
    <t>LTL</t>
  </si>
  <si>
    <t>LUX</t>
  </si>
  <si>
    <t>Luxembourg</t>
  </si>
  <si>
    <t>MDG</t>
  </si>
  <si>
    <t>Madagascar</t>
  </si>
  <si>
    <t>Malagasy Ariary</t>
  </si>
  <si>
    <t>MGA</t>
  </si>
  <si>
    <t>MWI</t>
  </si>
  <si>
    <t>Malawi</t>
  </si>
  <si>
    <t>Kwacha</t>
  </si>
  <si>
    <t>MWK</t>
  </si>
  <si>
    <t>MYS</t>
  </si>
  <si>
    <t>Malaysia</t>
  </si>
  <si>
    <t>Malaysian Ringgit</t>
  </si>
  <si>
    <t>MYR</t>
  </si>
  <si>
    <t>MDV</t>
  </si>
  <si>
    <t>Maldives</t>
  </si>
  <si>
    <t>Rufiyaa</t>
  </si>
  <si>
    <t>MVR</t>
  </si>
  <si>
    <t>MLI</t>
  </si>
  <si>
    <t>Mali</t>
  </si>
  <si>
    <t>MLT</t>
  </si>
  <si>
    <t>Malta</t>
  </si>
  <si>
    <t>Maltese Lira</t>
  </si>
  <si>
    <t>MTL</t>
  </si>
  <si>
    <t>MRT</t>
  </si>
  <si>
    <t>Mauritania</t>
  </si>
  <si>
    <t>Ouguiya</t>
  </si>
  <si>
    <t>MRO</t>
  </si>
  <si>
    <t>MUS</t>
  </si>
  <si>
    <t>Mauritius</t>
  </si>
  <si>
    <t>Mauritius Rupee</t>
  </si>
  <si>
    <t>MUR</t>
  </si>
  <si>
    <t>MEX</t>
  </si>
  <si>
    <t>Mexico</t>
  </si>
  <si>
    <t>Mexican Peso</t>
  </si>
  <si>
    <t>MXN</t>
  </si>
  <si>
    <t>FSM</t>
  </si>
  <si>
    <t>Micronesia (Federated States of)</t>
  </si>
  <si>
    <t>MNG</t>
  </si>
  <si>
    <t>Mongolia</t>
  </si>
  <si>
    <t>Tugrik</t>
  </si>
  <si>
    <t>MNT</t>
  </si>
  <si>
    <t>MNE</t>
  </si>
  <si>
    <t>Montenegro</t>
  </si>
  <si>
    <t>MAR</t>
  </si>
  <si>
    <t>Morocco</t>
  </si>
  <si>
    <t>Moroccan Dirham</t>
  </si>
  <si>
    <t>MAD</t>
  </si>
  <si>
    <t>MOZ</t>
  </si>
  <si>
    <t>Mozambique</t>
  </si>
  <si>
    <t>Metical</t>
  </si>
  <si>
    <t>MZN</t>
  </si>
  <si>
    <t>MMR</t>
  </si>
  <si>
    <t>Myanmar</t>
  </si>
  <si>
    <t>Kyat</t>
  </si>
  <si>
    <t>MMK</t>
  </si>
  <si>
    <t>NAM</t>
  </si>
  <si>
    <t>Namibia</t>
  </si>
  <si>
    <t>Namibian Dollar</t>
  </si>
  <si>
    <t>NAD</t>
  </si>
  <si>
    <t>NPL</t>
  </si>
  <si>
    <t>Nepal</t>
  </si>
  <si>
    <t>Nepalese Rupee</t>
  </si>
  <si>
    <t>NPR</t>
  </si>
  <si>
    <t>NLD</t>
  </si>
  <si>
    <t>Netherlands</t>
  </si>
  <si>
    <t>NZL</t>
  </si>
  <si>
    <t>New Zealand</t>
  </si>
  <si>
    <t>NIC</t>
  </si>
  <si>
    <t>Nicaragua</t>
  </si>
  <si>
    <t>Cordoba Oro</t>
  </si>
  <si>
    <t>NIO</t>
  </si>
  <si>
    <t>NER</t>
  </si>
  <si>
    <t>Niger</t>
  </si>
  <si>
    <t>NGA</t>
  </si>
  <si>
    <t>Nigeria</t>
  </si>
  <si>
    <t>Naira</t>
  </si>
  <si>
    <t>NGN</t>
  </si>
  <si>
    <t>NIU</t>
  </si>
  <si>
    <t>Niue</t>
  </si>
  <si>
    <t>NOR</t>
  </si>
  <si>
    <t>Norway</t>
  </si>
  <si>
    <t>Norwegian Krone</t>
  </si>
  <si>
    <t>NOK</t>
  </si>
  <si>
    <t>OMN</t>
  </si>
  <si>
    <t>Oman</t>
  </si>
  <si>
    <t>Rial Omani</t>
  </si>
  <si>
    <t>OMR</t>
  </si>
  <si>
    <t>PAK</t>
  </si>
  <si>
    <t>Pakistan</t>
  </si>
  <si>
    <t>Pakistan Rupee</t>
  </si>
  <si>
    <t>PKR</t>
  </si>
  <si>
    <t>PAN</t>
  </si>
  <si>
    <t>Panama</t>
  </si>
  <si>
    <t>Balboa</t>
  </si>
  <si>
    <t>PAB</t>
  </si>
  <si>
    <t>PNG</t>
  </si>
  <si>
    <t>Papua New Guinea</t>
  </si>
  <si>
    <t>Kina</t>
  </si>
  <si>
    <t>PGK</t>
  </si>
  <si>
    <t>PRY</t>
  </si>
  <si>
    <t>Paraguay</t>
  </si>
  <si>
    <t>Guarani</t>
  </si>
  <si>
    <t>PYG</t>
  </si>
  <si>
    <t>PER</t>
  </si>
  <si>
    <t>Peru</t>
  </si>
  <si>
    <t>Nuevo Sol</t>
  </si>
  <si>
    <t>PEN</t>
  </si>
  <si>
    <t>PHL</t>
  </si>
  <si>
    <t>Philippines</t>
  </si>
  <si>
    <t>Philippine Peso</t>
  </si>
  <si>
    <t>PHP</t>
  </si>
  <si>
    <t>POL</t>
  </si>
  <si>
    <t>Poland</t>
  </si>
  <si>
    <t>Zloty</t>
  </si>
  <si>
    <t>PLN</t>
  </si>
  <si>
    <t>PRT</t>
  </si>
  <si>
    <t>Portugal</t>
  </si>
  <si>
    <t>QAT</t>
  </si>
  <si>
    <t>Qatar</t>
  </si>
  <si>
    <t>Qatari Rial</t>
  </si>
  <si>
    <t>QAR</t>
  </si>
  <si>
    <t>KOR</t>
  </si>
  <si>
    <t>Republic of Korea</t>
  </si>
  <si>
    <t>South Korean Won</t>
  </si>
  <si>
    <t>KRW</t>
  </si>
  <si>
    <t>MDA</t>
  </si>
  <si>
    <t>Republic of Moldova</t>
  </si>
  <si>
    <t>Moldovan Leu</t>
  </si>
  <si>
    <t>MDL</t>
  </si>
  <si>
    <t>ROU</t>
  </si>
  <si>
    <t>Romania</t>
  </si>
  <si>
    <t>Romanian New Leu</t>
  </si>
  <si>
    <t>RON</t>
  </si>
  <si>
    <t>RUS</t>
  </si>
  <si>
    <t>Russian Federation</t>
  </si>
  <si>
    <t>Russian Rouble</t>
  </si>
  <si>
    <t>RUB</t>
  </si>
  <si>
    <t>RWA</t>
  </si>
  <si>
    <t>Rwanda</t>
  </si>
  <si>
    <t>Rwanda Franc</t>
  </si>
  <si>
    <t>RWF</t>
  </si>
  <si>
    <t>LCA</t>
  </si>
  <si>
    <t>Saint Lucia</t>
  </si>
  <si>
    <t>VCT</t>
  </si>
  <si>
    <t>Saint Vincent and the Grenadines</t>
  </si>
  <si>
    <t>WSM</t>
  </si>
  <si>
    <t>Samoa</t>
  </si>
  <si>
    <t>Samoan Tala</t>
  </si>
  <si>
    <t>WST</t>
  </si>
  <si>
    <t>STP</t>
  </si>
  <si>
    <t>Sao Tome and Principe</t>
  </si>
  <si>
    <t>Sao Tome and Principe Dobra</t>
  </si>
  <si>
    <t>STD</t>
  </si>
  <si>
    <t>SAU</t>
  </si>
  <si>
    <t>Saudi Arabia</t>
  </si>
  <si>
    <t>Saudi Riyal</t>
  </si>
  <si>
    <t>SAR</t>
  </si>
  <si>
    <t>SEN</t>
  </si>
  <si>
    <t>Senegal</t>
  </si>
  <si>
    <t>SRB</t>
  </si>
  <si>
    <t>Serbia</t>
  </si>
  <si>
    <t>Serbian Dinar</t>
  </si>
  <si>
    <t>RSD</t>
  </si>
  <si>
    <t>SYC</t>
  </si>
  <si>
    <t>Seychelles</t>
  </si>
  <si>
    <t>Seychelles Rupee</t>
  </si>
  <si>
    <t>SCR</t>
  </si>
  <si>
    <t>SLE</t>
  </si>
  <si>
    <t>Sierra Leone</t>
  </si>
  <si>
    <t>Leone</t>
  </si>
  <si>
    <t>SLL</t>
  </si>
  <si>
    <t>SGP</t>
  </si>
  <si>
    <t>Singapore</t>
  </si>
  <si>
    <t>Singapore Dollar</t>
  </si>
  <si>
    <t>SGD</t>
  </si>
  <si>
    <t>SVK</t>
  </si>
  <si>
    <t>Slovakia</t>
  </si>
  <si>
    <t>Slovak Koruna</t>
  </si>
  <si>
    <t>SKK</t>
  </si>
  <si>
    <t>SVN</t>
  </si>
  <si>
    <t>Slovenia</t>
  </si>
  <si>
    <t>Slovenian Tolar</t>
  </si>
  <si>
    <t>SIT</t>
  </si>
  <si>
    <t>SLB</t>
  </si>
  <si>
    <t>Solomon Islands</t>
  </si>
  <si>
    <t>Solomon Islands Dollar</t>
  </si>
  <si>
    <t>SBD</t>
  </si>
  <si>
    <t>SOM</t>
  </si>
  <si>
    <t>Somalia</t>
  </si>
  <si>
    <t>Somali Shilling</t>
  </si>
  <si>
    <t>SOS</t>
  </si>
  <si>
    <t>ZAF</t>
  </si>
  <si>
    <t>South Africa</t>
  </si>
  <si>
    <t>South African Rand</t>
  </si>
  <si>
    <t>ZAR</t>
  </si>
  <si>
    <t>SSD</t>
  </si>
  <si>
    <t>South Sudan</t>
  </si>
  <si>
    <t>South Sudanese Pound</t>
  </si>
  <si>
    <t>SSP</t>
  </si>
  <si>
    <t>ESP</t>
  </si>
  <si>
    <t>Spain</t>
  </si>
  <si>
    <t>LKA</t>
  </si>
  <si>
    <t>Sri Lanka</t>
  </si>
  <si>
    <t>Sri Lanka Rupee</t>
  </si>
  <si>
    <t>LKR</t>
  </si>
  <si>
    <t>SDN</t>
  </si>
  <si>
    <t>Sudan</t>
  </si>
  <si>
    <t>Sudanese Pound</t>
  </si>
  <si>
    <t>SDG</t>
  </si>
  <si>
    <t>SUR</t>
  </si>
  <si>
    <t>Suriname</t>
  </si>
  <si>
    <t>Surinam Dollar</t>
  </si>
  <si>
    <t>SRD</t>
  </si>
  <si>
    <t>SWZ</t>
  </si>
  <si>
    <t>Swaziland</t>
  </si>
  <si>
    <t>Lilangeni</t>
  </si>
  <si>
    <t>SZL</t>
  </si>
  <si>
    <t>SWE</t>
  </si>
  <si>
    <t>Sweden</t>
  </si>
  <si>
    <t>Swedish Krona</t>
  </si>
  <si>
    <t>SEK</t>
  </si>
  <si>
    <t>CHE</t>
  </si>
  <si>
    <t>Switzerland</t>
  </si>
  <si>
    <t>WIR Euro (complementary currency)</t>
  </si>
  <si>
    <t>SYR</t>
  </si>
  <si>
    <t>Syrian Arab Republic</t>
  </si>
  <si>
    <t>Syrian Pound</t>
  </si>
  <si>
    <t>SYP</t>
  </si>
  <si>
    <t>TJK</t>
  </si>
  <si>
    <t>Tajikistan</t>
  </si>
  <si>
    <t>Somoni</t>
  </si>
  <si>
    <t>TJS</t>
  </si>
  <si>
    <t>THA</t>
  </si>
  <si>
    <t>Thailand</t>
  </si>
  <si>
    <t>Baht</t>
  </si>
  <si>
    <t>THB</t>
  </si>
  <si>
    <t>MKD</t>
  </si>
  <si>
    <t>The former Yugoslav Republic of Macedonia</t>
  </si>
  <si>
    <t>Denar</t>
  </si>
  <si>
    <t>TLS</t>
  </si>
  <si>
    <t>Timor-Leste</t>
  </si>
  <si>
    <t>TGO</t>
  </si>
  <si>
    <t>Togo</t>
  </si>
  <si>
    <t>TON</t>
  </si>
  <si>
    <t>Tonga</t>
  </si>
  <si>
    <t>Pa'anga</t>
  </si>
  <si>
    <t>TOP</t>
  </si>
  <si>
    <t>TTO</t>
  </si>
  <si>
    <t>Trinidad and Tobago</t>
  </si>
  <si>
    <t>Trinidad and Tobago Dollar</t>
  </si>
  <si>
    <t>TTD</t>
  </si>
  <si>
    <t>TUN</t>
  </si>
  <si>
    <t>Tunisia</t>
  </si>
  <si>
    <t>Tunisian Dinar</t>
  </si>
  <si>
    <t>TND</t>
  </si>
  <si>
    <t>TUR</t>
  </si>
  <si>
    <t>Turkey</t>
  </si>
  <si>
    <t>New Turkish Lira</t>
  </si>
  <si>
    <t>TRY</t>
  </si>
  <si>
    <t>TKM</t>
  </si>
  <si>
    <t>Turkmenistan</t>
  </si>
  <si>
    <t>Manat</t>
  </si>
  <si>
    <t>TMM</t>
  </si>
  <si>
    <t>UGA</t>
  </si>
  <si>
    <t>Uganda</t>
  </si>
  <si>
    <t>Uganda Shilling</t>
  </si>
  <si>
    <t>UGX</t>
  </si>
  <si>
    <t>UKR</t>
  </si>
  <si>
    <t>Ukraine</t>
  </si>
  <si>
    <t>Hryvnia</t>
  </si>
  <si>
    <t>UAH</t>
  </si>
  <si>
    <t>ARE</t>
  </si>
  <si>
    <t>United Arab Emirates</t>
  </si>
  <si>
    <t>United Arab Emirates dirham</t>
  </si>
  <si>
    <t>AED</t>
  </si>
  <si>
    <t>GBR</t>
  </si>
  <si>
    <t>United Kingdom</t>
  </si>
  <si>
    <t>Pound Sterling</t>
  </si>
  <si>
    <t>GBP</t>
  </si>
  <si>
    <t>TZA</t>
  </si>
  <si>
    <t>United Republic of Tanzania</t>
  </si>
  <si>
    <t>Tanzanian Schilling</t>
  </si>
  <si>
    <t>TZS</t>
  </si>
  <si>
    <t>USA</t>
  </si>
  <si>
    <t>United States</t>
  </si>
  <si>
    <t>URY</t>
  </si>
  <si>
    <t>Uruguay</t>
  </si>
  <si>
    <t>Peso Uruguayo</t>
  </si>
  <si>
    <t>UYU</t>
  </si>
  <si>
    <t>UZB</t>
  </si>
  <si>
    <t>Uzbekistan</t>
  </si>
  <si>
    <t>Uzbekistan Som</t>
  </si>
  <si>
    <t>UZS</t>
  </si>
  <si>
    <t>VUT</t>
  </si>
  <si>
    <t>Vanuatu</t>
  </si>
  <si>
    <t>Vatu</t>
  </si>
  <si>
    <t>VUV</t>
  </si>
  <si>
    <t>VEN</t>
  </si>
  <si>
    <t>Venezuela (Bolivarian Republic of)</t>
  </si>
  <si>
    <t>Venezuelan bolívar</t>
  </si>
  <si>
    <t>VEB</t>
  </si>
  <si>
    <t>VNM</t>
  </si>
  <si>
    <t>Viet Nam</t>
  </si>
  <si>
    <t>Vietnamese đồng</t>
  </si>
  <si>
    <t>VND</t>
  </si>
  <si>
    <t>YEM</t>
  </si>
  <si>
    <t>Yemen</t>
  </si>
  <si>
    <t>Yemeni Rial</t>
  </si>
  <si>
    <t>YER</t>
  </si>
  <si>
    <t>ZMB</t>
  </si>
  <si>
    <t>Zambia</t>
  </si>
  <si>
    <t>ZMK</t>
  </si>
  <si>
    <t>ZWE</t>
  </si>
  <si>
    <t>Zimbabwe</t>
  </si>
  <si>
    <t>Zimbabwe Dollar</t>
  </si>
  <si>
    <t>ZWD</t>
  </si>
  <si>
    <t>I. Country Information</t>
  </si>
  <si>
    <t>Country</t>
  </si>
  <si>
    <t>Baseline year of analysis</t>
  </si>
  <si>
    <t>Annual population growth rate</t>
  </si>
  <si>
    <t>Enter data in:</t>
  </si>
  <si>
    <t>Annual inflation rate:</t>
  </si>
  <si>
    <t>Level</t>
  </si>
  <si>
    <t>II. Program Information</t>
  </si>
  <si>
    <t>IV. MANUAL ENTRY</t>
  </si>
  <si>
    <r>
      <t xml:space="preserve">Use default age categories? </t>
    </r>
    <r>
      <rPr>
        <b/>
        <i/>
        <sz val="11"/>
        <color theme="1"/>
        <rFont val="Calibri"/>
        <family val="2"/>
        <scheme val="minor"/>
      </rPr>
      <t>(From UN Database, see Annex 2)</t>
    </r>
  </si>
  <si>
    <t>Total Population (National)</t>
  </si>
  <si>
    <t>Indicate the % of total population comprised of the following groups:</t>
  </si>
  <si>
    <t>Females (all ages)</t>
  </si>
  <si>
    <t>Children &lt;1</t>
  </si>
  <si>
    <t>Children &lt;5</t>
  </si>
  <si>
    <t>Age 5-14</t>
  </si>
  <si>
    <t>Age 15-24</t>
  </si>
  <si>
    <t>Age 25-49</t>
  </si>
  <si>
    <t>Age 50+</t>
  </si>
  <si>
    <t>Population breakdown:</t>
  </si>
  <si>
    <t>User Input</t>
  </si>
  <si>
    <t>Default Data</t>
  </si>
  <si>
    <t>Males 2-59 months</t>
  </si>
  <si>
    <t>Males 6-59 months</t>
  </si>
  <si>
    <t>Females 2-59 months</t>
  </si>
  <si>
    <t>Females 6-59 months</t>
  </si>
  <si>
    <t>PARAMETERS</t>
  </si>
  <si>
    <t>PROGRAM SCALE-UP</t>
  </si>
  <si>
    <t xml:space="preserve">IV. Sources of Financing </t>
  </si>
  <si>
    <t>TRAINING</t>
  </si>
  <si>
    <t>OTHER RECCURENT COSTS</t>
  </si>
  <si>
    <t>DERMOGRAPHY</t>
  </si>
  <si>
    <t>Number of projection years</t>
  </si>
  <si>
    <t>Yes</t>
  </si>
  <si>
    <t>Audiologist</t>
  </si>
  <si>
    <t xml:space="preserve">Speech Therapy and Audiology </t>
  </si>
  <si>
    <t>Full-time</t>
  </si>
  <si>
    <t>Part-time</t>
  </si>
  <si>
    <t>OSD Post (and Grade (where applicable))</t>
  </si>
  <si>
    <t>#</t>
  </si>
  <si>
    <t>6/8th</t>
  </si>
  <si>
    <t>5/8th</t>
  </si>
  <si>
    <t>3/8th</t>
  </si>
  <si>
    <t>ASD: Audiology Gr 1</t>
  </si>
  <si>
    <t>ASD: Speech Therapy and Audiology Gr 1</t>
  </si>
  <si>
    <t>ASD: Audiology Gr 2</t>
  </si>
  <si>
    <t>ASD: Speech Therapy and Audiology Gr 2</t>
  </si>
  <si>
    <t>DD: Audiology Gr 1</t>
  </si>
  <si>
    <t>DD: Speech Therapy and Audiology Gr 1</t>
  </si>
  <si>
    <t>DD: Audiology Gr 2</t>
  </si>
  <si>
    <t>DD: Speech Therapy and Audiology Gr 2</t>
  </si>
  <si>
    <t>Notch</t>
  </si>
  <si>
    <t>PERSAL TABLES 278 &amp; 279</t>
  </si>
  <si>
    <t>Legend</t>
  </si>
  <si>
    <t>ASD</t>
  </si>
  <si>
    <t>Assistant Director</t>
  </si>
  <si>
    <t>DD</t>
  </si>
  <si>
    <t xml:space="preserve">Deputy Director </t>
  </si>
  <si>
    <t>Asst</t>
  </si>
  <si>
    <t>Assistant</t>
  </si>
  <si>
    <t>Gr</t>
  </si>
  <si>
    <t>Grade</t>
  </si>
  <si>
    <t>C/S</t>
  </si>
  <si>
    <t>Community Service</t>
  </si>
  <si>
    <t xml:space="preserve">PD </t>
  </si>
  <si>
    <t>Policy Developer</t>
  </si>
  <si>
    <t>Assistants - Group 1</t>
  </si>
  <si>
    <t xml:space="preserve"> Dental Asst. Gr. 1</t>
  </si>
  <si>
    <t>Occupational Therapy Asst. Grade 1</t>
  </si>
  <si>
    <t>Radiography Asst Gr. 1</t>
  </si>
  <si>
    <t>Orthopaedic and Prosthetic Asst. Gr.1</t>
  </si>
  <si>
    <t>Physiotherapy Asst. Gr. 1</t>
  </si>
  <si>
    <t>Forensic Pathology Officer Gr 1</t>
  </si>
  <si>
    <t>Medical Technology Asst Gr 1</t>
  </si>
  <si>
    <t>Community Rehabilitation Worker Gr 1</t>
  </si>
  <si>
    <t xml:space="preserve"> Dental Asst. Gr. 2</t>
  </si>
  <si>
    <t>Occupational Therapy Asst. Grade 2</t>
  </si>
  <si>
    <t>Radiography Asst Gr. 2</t>
  </si>
  <si>
    <t>Orthopaedic and Prosthetic Asst. Gr.2</t>
  </si>
  <si>
    <t>Physiotherapy Asst. Gr. 2</t>
  </si>
  <si>
    <t>Forensic Pathology Officer Gr 2</t>
  </si>
  <si>
    <t>Medical Technology Asst Gr 2</t>
  </si>
  <si>
    <t>Community Rehabilitation Worker Gr 2</t>
  </si>
  <si>
    <t>Assistants - Group 2</t>
  </si>
  <si>
    <t>Electro-Cardiogram Asst Gr 1</t>
  </si>
  <si>
    <t>Electro-Encephalographic Asst Gr 1</t>
  </si>
  <si>
    <t>Speech Therapy Asst Gr 1</t>
  </si>
  <si>
    <t>Community Speech and Hearing Worker Gr 1</t>
  </si>
  <si>
    <t>Assistant Nutritionist Gr 1</t>
  </si>
  <si>
    <t>Medical Technician Gr 1</t>
  </si>
  <si>
    <t>Environmental Health Asst Gr 1</t>
  </si>
  <si>
    <t>Opthalmology Technician Gr 1</t>
  </si>
  <si>
    <t>Orthopaedic Footwear Technician Gr 1</t>
  </si>
  <si>
    <t>Physiotherapy Technician Gr 1</t>
  </si>
  <si>
    <t>Supplementary Diagnostic Radiographer Gr 1</t>
  </si>
  <si>
    <t>Occupational Therapy Technician Gr 1</t>
  </si>
  <si>
    <t>Radiographic Technician Gr 1</t>
  </si>
  <si>
    <t>Radiation Laboratory Technician Gr 1</t>
  </si>
  <si>
    <t>Electro-Cardiogram Asst Gr 2</t>
  </si>
  <si>
    <t>Speech Therapy Asst Gr 2</t>
  </si>
  <si>
    <t>Community Speech and Hearing Worker Gr 2</t>
  </si>
  <si>
    <t>Assistant Nutritionist Gr 2</t>
  </si>
  <si>
    <t>Medical Technician Gr 2</t>
  </si>
  <si>
    <t>Environmental Health Asst Gr 2</t>
  </si>
  <si>
    <t>Opthalmology Technician Gr 2</t>
  </si>
  <si>
    <t>Orthopaedic Footwear Technician Gr 2</t>
  </si>
  <si>
    <t>Physiotherapy Technician Gr 2</t>
  </si>
  <si>
    <t>Supplementary Diagnostic Radiographer Gr 2</t>
  </si>
  <si>
    <t>Occupational Therapy Technician Gr 2</t>
  </si>
  <si>
    <t>Radiographic Technician Gr 2</t>
  </si>
  <si>
    <t>Radiation Laboratory Technician Gr 2</t>
  </si>
  <si>
    <t xml:space="preserve">Therapeutic, Diagnostic and other related Allied Health Professionals </t>
  </si>
  <si>
    <t>Dietician (C/S)</t>
  </si>
  <si>
    <t>Nutritionist (C/S)</t>
  </si>
  <si>
    <t>Physiotherapist (C/S)</t>
  </si>
  <si>
    <t>Occupational Therapist (C/S)</t>
  </si>
  <si>
    <t>Diagnostic Radiographer (C/S)</t>
  </si>
  <si>
    <t>Audiologist (C/S)</t>
  </si>
  <si>
    <t>Dental Therapist (C/S)</t>
  </si>
  <si>
    <t>Optometrist (C/S)</t>
  </si>
  <si>
    <t>Dispensing Optician (C/S)</t>
  </si>
  <si>
    <t>Medical Technologist (C/S)</t>
  </si>
  <si>
    <t>Clinical Technologist (C/S)</t>
  </si>
  <si>
    <t>Medical Technical Officer  (C/S)</t>
  </si>
  <si>
    <t>Medical Orthotist and Prostetist (C/S)</t>
  </si>
  <si>
    <t>Biokinetist (C/S)</t>
  </si>
  <si>
    <t>Podiatrist (C/S)</t>
  </si>
  <si>
    <t>Environmental Health Practitioner (C/S)</t>
  </si>
  <si>
    <t>Speech Therapist (C/S)</t>
  </si>
  <si>
    <t>Dental Technician (C/S)</t>
  </si>
  <si>
    <t>Speech Therapist and Audiologist (C/S)</t>
  </si>
  <si>
    <t>Radiation Control Officer (C/S)</t>
  </si>
  <si>
    <t>Medical Biological Scientist (C/S)</t>
  </si>
  <si>
    <t>Forensic Analyst (C/S)</t>
  </si>
  <si>
    <t>Occupational Hygienist (C/S)</t>
  </si>
  <si>
    <t>Oral Hygienist (C/S)</t>
  </si>
  <si>
    <t>Biokineticist Gr 1</t>
  </si>
  <si>
    <t>Podiatrist Gr 1</t>
  </si>
  <si>
    <t>Clinical Technologist Gr 1</t>
  </si>
  <si>
    <t>Dental Therapist Gr 1</t>
  </si>
  <si>
    <t>Speech Therapist Gr 1</t>
  </si>
  <si>
    <t>Environmental Health Practitioner Gr 1</t>
  </si>
  <si>
    <t>Medical Orthotist &amp; Prosthetist Gr 1</t>
  </si>
  <si>
    <t>Medical Technologist Gr 1</t>
  </si>
  <si>
    <t>Occupational Therapist Gr 1</t>
  </si>
  <si>
    <t>Diagnostic Radiographer Gr 1</t>
  </si>
  <si>
    <t>Optometrist Gr 1</t>
  </si>
  <si>
    <t>Dental Technician Gr 1</t>
  </si>
  <si>
    <t>Physiotherapist Gr 1</t>
  </si>
  <si>
    <t>Audiologist Grade 1</t>
  </si>
  <si>
    <t>Speech Therapist and Audiologist Gr 1</t>
  </si>
  <si>
    <t>Nutritionist Gr 1</t>
  </si>
  <si>
    <t>Dietician Gr 1</t>
  </si>
  <si>
    <t>Forensic Analyst Gr 1</t>
  </si>
  <si>
    <t>Medical Technical Officer Gr 1</t>
  </si>
  <si>
    <t>Medical Biological Scientist Gr 1</t>
  </si>
  <si>
    <t>Radiation Control Officer Gr 1</t>
  </si>
  <si>
    <t>Oral Hygienist Gr 1</t>
  </si>
  <si>
    <t>Occupational Higienist Gr 1</t>
  </si>
  <si>
    <t>Dispensing Optician Gr 1</t>
  </si>
  <si>
    <t>Biokineticist Gr 2</t>
  </si>
  <si>
    <t>Podiatrist Gr 2</t>
  </si>
  <si>
    <t>Clinical Technologist Gr 2</t>
  </si>
  <si>
    <t>Dental Therapist Gr 2</t>
  </si>
  <si>
    <t>Speech Therapist Gr 2</t>
  </si>
  <si>
    <t>Environmental Health Practitioner Gr 2</t>
  </si>
  <si>
    <t>Medical Orthotist &amp; Prosthetist Gr 2</t>
  </si>
  <si>
    <t>Medical Technologist Gr 2</t>
  </si>
  <si>
    <t>Occupational Therapist Gr 2</t>
  </si>
  <si>
    <t>Diagnostic Radiographer Gr 2</t>
  </si>
  <si>
    <t>Optometrist Gr 2</t>
  </si>
  <si>
    <t>Dental Technician Gr 2</t>
  </si>
  <si>
    <t>Physiotherapist Gr 2</t>
  </si>
  <si>
    <t>Audiologist Grade 2</t>
  </si>
  <si>
    <t>Speech Therapist and Audiologist Gr 2</t>
  </si>
  <si>
    <t>Nutritionist Gr 2</t>
  </si>
  <si>
    <t>Dietician Gr 2</t>
  </si>
  <si>
    <t>Forensic Analyst Gr 2</t>
  </si>
  <si>
    <t>Medical Technical Officer Gr 2</t>
  </si>
  <si>
    <t>Medical Biological Scientist Gr 2</t>
  </si>
  <si>
    <t>Radiation Control Officer Gr 2</t>
  </si>
  <si>
    <t>Oral Hygienist Gr 2</t>
  </si>
  <si>
    <t>Occupational Higienist Gr 2</t>
  </si>
  <si>
    <t>Dispensing Optician Gr 2</t>
  </si>
  <si>
    <t>Biokineticist Gr 3</t>
  </si>
  <si>
    <t>Podiatrist Gr 3</t>
  </si>
  <si>
    <t>Clinical Technologist Gr 3</t>
  </si>
  <si>
    <t>Dental Therapist Gr 3</t>
  </si>
  <si>
    <t>Speech Therapist Gr 3</t>
  </si>
  <si>
    <t>Environmental Health Practitioner Gr 3</t>
  </si>
  <si>
    <t>Medical Orthotist &amp; Prosthetist Gr 3</t>
  </si>
  <si>
    <t>Medical Technologist Gr 3</t>
  </si>
  <si>
    <t>Occupational Therapist Gr 3</t>
  </si>
  <si>
    <t>Diagnostic Radiographer Gr 3</t>
  </si>
  <si>
    <t>Optometrist Gr 3</t>
  </si>
  <si>
    <t>Dental Technician Gr 3</t>
  </si>
  <si>
    <t>Physiotherapist Gr 3</t>
  </si>
  <si>
    <t>Audiologist Grade 3</t>
  </si>
  <si>
    <t>Speech Therapist and Audiologist Gr 3</t>
  </si>
  <si>
    <t>Nutritionist Gr 3</t>
  </si>
  <si>
    <t>Dietician Gr 3</t>
  </si>
  <si>
    <t>Forensic Analyst Gr 3</t>
  </si>
  <si>
    <t>Medical Technical Officer Gr 3</t>
  </si>
  <si>
    <t>Medical Biological Scientist Gr 3</t>
  </si>
  <si>
    <t>Radiation Control Officer Gr 3</t>
  </si>
  <si>
    <t>Oral Hygienist Gr 3</t>
  </si>
  <si>
    <t>Occupational Higienist Gr 3</t>
  </si>
  <si>
    <t>Dispensing Optician Gr 3</t>
  </si>
  <si>
    <t xml:space="preserve"> Nuclear Medicine Radiographer  Gr 1</t>
  </si>
  <si>
    <t xml:space="preserve"> Radiation Oncology Radiographer Gr 1</t>
  </si>
  <si>
    <t xml:space="preserve"> Ultrasound Radiographer Gr 1</t>
  </si>
  <si>
    <t xml:space="preserve"> Mammography Radiographer Gr 1</t>
  </si>
  <si>
    <t xml:space="preserve"> Nuclear Medicine Radiographer  Gr 2</t>
  </si>
  <si>
    <t xml:space="preserve"> Radiation Oncology Radiographer Gr 2</t>
  </si>
  <si>
    <t xml:space="preserve"> Ultrasound Radiographer Gr 2</t>
  </si>
  <si>
    <t xml:space="preserve"> Mammography Radiographer Gr 2</t>
  </si>
  <si>
    <t xml:space="preserve"> Nuclear Medicine Radiographer  Gr 3</t>
  </si>
  <si>
    <t xml:space="preserve"> Radiation Oncology Radiographer Gr 3</t>
  </si>
  <si>
    <t xml:space="preserve"> Ultrasound Radiographer Gr 3</t>
  </si>
  <si>
    <t xml:space="preserve"> Mammography Radiographer Gr 3</t>
  </si>
  <si>
    <t>Chief Biokineticist Gr 1</t>
  </si>
  <si>
    <t>Chief Podiatrist Gr 1</t>
  </si>
  <si>
    <t>Chief Clinical Technologist Gr 1</t>
  </si>
  <si>
    <t>Chief Dental Therapist Gr 1</t>
  </si>
  <si>
    <t>Chief Speech Therapist Gr 1</t>
  </si>
  <si>
    <t>Chief Environmental Health Practitioner Gr 1</t>
  </si>
  <si>
    <t>Chief Medical Orthotist &amp; Prosthetist Gr 1</t>
  </si>
  <si>
    <t>Chief Medical Technologist Gr 1</t>
  </si>
  <si>
    <t>Chief Occupational Therapist Gr 1</t>
  </si>
  <si>
    <t>Chief Diagnostic Radiographer Gr 1</t>
  </si>
  <si>
    <t>Chief Optometrist Gr 1</t>
  </si>
  <si>
    <t>Chief Dental Technician Gr 1</t>
  </si>
  <si>
    <t>Chief Physiotherapist Gr 1</t>
  </si>
  <si>
    <t>Chief Audiologist Gr 1</t>
  </si>
  <si>
    <t>Chief Speech Therapist and Audiologist Gr 1</t>
  </si>
  <si>
    <t>Chief Nutritionist Gr 1</t>
  </si>
  <si>
    <t>Chief Dietician Gr 1</t>
  </si>
  <si>
    <t>Chief Forensic Analyst Gr 1</t>
  </si>
  <si>
    <t>Chief Medical Technical Officer Gr 1</t>
  </si>
  <si>
    <t>Chief Medical Biological Scientist Gr 1</t>
  </si>
  <si>
    <t>Chief Radiation Control Officer Gr 1</t>
  </si>
  <si>
    <t>Chief Dispensing Optician Gr 1</t>
  </si>
  <si>
    <t>Chief Occupational Hygienist Gr 1</t>
  </si>
  <si>
    <t>Chief Oral Hygienest Gr 1</t>
  </si>
  <si>
    <t>Chief Biokineticist Gr 2</t>
  </si>
  <si>
    <t>Chief Podiatrist Gr 2</t>
  </si>
  <si>
    <t>Chief Clinical Technologist Gr 2</t>
  </si>
  <si>
    <t>Chief Dental Therapist Gr 2</t>
  </si>
  <si>
    <t>Chief Speech Therapist Gr 2</t>
  </si>
  <si>
    <t>Chief Environmental Health Practitioner Gr 2</t>
  </si>
  <si>
    <t>Chief Medical Orthotist &amp; Prosthetist Gr 2</t>
  </si>
  <si>
    <t>Chief Medical Technologist Gr 2</t>
  </si>
  <si>
    <t>Chief Occupational Therapist Gr 2</t>
  </si>
  <si>
    <t>Chief Diagnostic Radiographer Gr 2</t>
  </si>
  <si>
    <t>Chief Optometrist Gr 2</t>
  </si>
  <si>
    <t>Chief Dental Technician Gr 2</t>
  </si>
  <si>
    <t>Chief Physiotherapist Gr 2</t>
  </si>
  <si>
    <t>Chief Audiologist Gr 2</t>
  </si>
  <si>
    <t>Chief Speech Therapist and Audiologist Gr 2</t>
  </si>
  <si>
    <t>Chief Nutritionist Gr 2</t>
  </si>
  <si>
    <t>Chief Dietician Gr 2</t>
  </si>
  <si>
    <t>Chief Forensic Analyst Gr 2</t>
  </si>
  <si>
    <t>Chief Medical Technical Officer Gr 2</t>
  </si>
  <si>
    <t>Chief Medical Biological Scientist Gr 2</t>
  </si>
  <si>
    <t>Chief Radiation Control Officer Gr 2</t>
  </si>
  <si>
    <t>Chief Dispensing Optician Gr 2</t>
  </si>
  <si>
    <t>Chief Occupational Hygienist Gr 2</t>
  </si>
  <si>
    <t>Chief Oral Hygienest Gr 2</t>
  </si>
  <si>
    <t>ASD: Biokinetics Gr 1</t>
  </si>
  <si>
    <t>ASD: Podiatry Gr 1</t>
  </si>
  <si>
    <t>ASD: Clinical Technology Gr 1</t>
  </si>
  <si>
    <t>ASD: Dental Therapy Gr 1</t>
  </si>
  <si>
    <t>ASD: Speech Therapy Gr 1</t>
  </si>
  <si>
    <t>ASD: Environmental Health Gr 1</t>
  </si>
  <si>
    <t>ASD: Medical Orthotists &amp; Prosthetists Gr 1</t>
  </si>
  <si>
    <t>ASD: Medical Technology Gr 1</t>
  </si>
  <si>
    <t>ASD: Occupational Therapy Gr 1</t>
  </si>
  <si>
    <t>ASD: Radiography Gr 1</t>
  </si>
  <si>
    <t>ASD: Optometry Gr 1</t>
  </si>
  <si>
    <t>ASD: Dental Technology Gr 1</t>
  </si>
  <si>
    <t>ASD: Physiotherapy Gr 1</t>
  </si>
  <si>
    <t>ASD: Nutrition Gr 1</t>
  </si>
  <si>
    <t>ASD: Dietetics Gr 1</t>
  </si>
  <si>
    <t>ASD: Forensic Analysis Gr 1</t>
  </si>
  <si>
    <t>ASD: Medical Technical Services Gr 1</t>
  </si>
  <si>
    <t>ASD: Medical Biological Sciences Gr 1</t>
  </si>
  <si>
    <t>ASD: Radiation Control Gr 1</t>
  </si>
  <si>
    <t>ASD: Oral Hygiene Gr 1</t>
  </si>
  <si>
    <t>ASD: Occupational Hygiene Gr 1</t>
  </si>
  <si>
    <t>ASD: Dispensing Optics Gr 1</t>
  </si>
  <si>
    <t>ASD: Biokinetics Gr 2</t>
  </si>
  <si>
    <t>ASD: Podiatry Gr 2</t>
  </si>
  <si>
    <t>ASD: Clinical Technology Gr 2</t>
  </si>
  <si>
    <t>ASD: Dental Therapy Gr 2</t>
  </si>
  <si>
    <t>ASD: Speech Therapy Gr 2</t>
  </si>
  <si>
    <t>ASD: Environmental Health Gr 2</t>
  </si>
  <si>
    <t>ASD: Medical Orthotists &amp; Prosthetists Gr 2</t>
  </si>
  <si>
    <t>ASD: Medical Technology Gr 2</t>
  </si>
  <si>
    <t>ASD: Occupational Therapy Gr 2</t>
  </si>
  <si>
    <t>ASD: Radiography Gr 2</t>
  </si>
  <si>
    <t>ASD: Optometry Gr 2</t>
  </si>
  <si>
    <t>ASD: Dental Technology Gr 2</t>
  </si>
  <si>
    <t>ASD: Physiotherapy Gr 2</t>
  </si>
  <si>
    <t>ASD: Nutrition Gr 2</t>
  </si>
  <si>
    <t>ASD: Dietetics Gr 2</t>
  </si>
  <si>
    <t>ASD: Forensic Analysis Gr 2</t>
  </si>
  <si>
    <t>ASD: Medical Technical Services Gr 2</t>
  </si>
  <si>
    <t>ASD: Medical Biological Sciences Gr 2</t>
  </si>
  <si>
    <t>ASD: Radiation Control Gr 2</t>
  </si>
  <si>
    <t>ASD: Oral Hygiene Gr 2</t>
  </si>
  <si>
    <t>ASD: Occupational Hygiene Gr 2</t>
  </si>
  <si>
    <t>ASD: Dispensing Optics Gr 2</t>
  </si>
  <si>
    <t>DD: Biokinetics Gr 1</t>
  </si>
  <si>
    <t>TCE package</t>
  </si>
  <si>
    <t>DD: Podiatics Gr 1</t>
  </si>
  <si>
    <t>DD: Clinical Technology Gr 1</t>
  </si>
  <si>
    <t>DD: Dental Therapy Gr 1</t>
  </si>
  <si>
    <t>DD: Speech Therapist Gr 1</t>
  </si>
  <si>
    <t xml:space="preserve">DD: Environmental Health Gr 1 </t>
  </si>
  <si>
    <t>DD: Medical Orthotics &amp; Prosthetists Gr 1</t>
  </si>
  <si>
    <t>DD: Medical Technology Gr 1</t>
  </si>
  <si>
    <t>DD: Occupational Therapy Gr 1</t>
  </si>
  <si>
    <t>DD: Radiography Gr 1</t>
  </si>
  <si>
    <t>DD: Optometry Gr 1</t>
  </si>
  <si>
    <t>DD: Dental Technology Gr 1</t>
  </si>
  <si>
    <t>DD: Physiotherapy Gr 1</t>
  </si>
  <si>
    <t>DD: Nutrition Gr 1</t>
  </si>
  <si>
    <t>DD: Dietetics Gr 1</t>
  </si>
  <si>
    <t>DD: Forensic Analysis Gr 1</t>
  </si>
  <si>
    <t>DD: Medical Technical Services Gr 1</t>
  </si>
  <si>
    <t>DD: Medical Biological Sciences Gr 1</t>
  </si>
  <si>
    <t>DD: Radiation Control Gr 1</t>
  </si>
  <si>
    <t>DD: Oral Hygiene Gr 1</t>
  </si>
  <si>
    <t>DD: Occupational Hygiene Gr 1</t>
  </si>
  <si>
    <t>DD: Dispensing Optics Gr 1</t>
  </si>
  <si>
    <t>DD: Biokinetics Gr 2</t>
  </si>
  <si>
    <t>DD: Podiatics Gr 2</t>
  </si>
  <si>
    <t>DD: Clinical Technology Gr 2</t>
  </si>
  <si>
    <t>DD: Dental Therapy Gr 2</t>
  </si>
  <si>
    <t>DD: Speech Therapist Gr 2</t>
  </si>
  <si>
    <t xml:space="preserve">DD: Environmental Health Gr 2 </t>
  </si>
  <si>
    <t>DD: Medical Orthotics &amp; Prosthetists Gr 2</t>
  </si>
  <si>
    <t>DD: Medical Technology Gr 2</t>
  </si>
  <si>
    <t>DD: Occupational Therapy Gr 2</t>
  </si>
  <si>
    <t>DD: Radiography Gr 2</t>
  </si>
  <si>
    <t>DD: Optometry Gr 2</t>
  </si>
  <si>
    <t>DD: Dental Technology Gr 2</t>
  </si>
  <si>
    <t>DD: Physiotherapy Gr 2</t>
  </si>
  <si>
    <t>DD: Nutrition Gr 2</t>
  </si>
  <si>
    <t>DD: Dietetics Gr 2</t>
  </si>
  <si>
    <t>DD: Forensic Analysis Gr 2</t>
  </si>
  <si>
    <t>DD: Medical Technical Services Gr 2</t>
  </si>
  <si>
    <t>DD: Medical Biological Sciences Gr 2</t>
  </si>
  <si>
    <t>DD: Radiation Control Gr 2</t>
  </si>
  <si>
    <t>DD: Oral Hygiene Gr 2</t>
  </si>
  <si>
    <t>DD: Occupational Hygiene Gr 2</t>
  </si>
  <si>
    <t>DD: Dispensing Optics Gr 2</t>
  </si>
  <si>
    <t>Therapeutic &amp; Medical Support Services Programme Coordinator</t>
  </si>
  <si>
    <t>Therapeutic &amp; Medical Support Services Programme Coordinator Grade 1</t>
  </si>
  <si>
    <t>Therapeutic &amp; Medical Support Services Programme Coordinator Grade 2</t>
  </si>
  <si>
    <t>Assistant Director: Therapeutic &amp; Medical Support Services Grade 1</t>
  </si>
  <si>
    <t>Assistant Director: Therapeutic &amp; Medical Support Services Grade 2</t>
  </si>
  <si>
    <t>Deputy Director: Therapeutic &amp; Medical Support Services Grade 1</t>
  </si>
  <si>
    <t>Deputy Director: Therapeutic &amp; Medical Support Services Grade 2</t>
  </si>
  <si>
    <t>2018 and 2019 salary scales, with translation keys, for employees on salary levels 1 to 12 and those employees covered by Occupation Specific Dispensations (OSDs)</t>
  </si>
  <si>
    <t>Back Calculations</t>
  </si>
  <si>
    <t>Currencies</t>
  </si>
  <si>
    <t xml:space="preserve">Hearing </t>
  </si>
  <si>
    <t>Vision</t>
  </si>
  <si>
    <t xml:space="preserve">Financial Assumptions </t>
  </si>
  <si>
    <t>Interest Rate</t>
  </si>
  <si>
    <t>South African Reserve Bank</t>
  </si>
  <si>
    <t xml:space="preserve">Inflation Rate </t>
  </si>
  <si>
    <t>Discount Rate</t>
  </si>
  <si>
    <r>
      <t xml:space="preserve">OSD FOR THERAPEUTIC, DIAGNOSTIC AND OTHER RELATED ALLIED HEALTH PROFESSIONALS: </t>
    </r>
    <r>
      <rPr>
        <b/>
        <u/>
        <sz val="16"/>
        <color theme="0"/>
        <rFont val="Calibri"/>
        <family val="2"/>
        <scheme val="minor"/>
      </rPr>
      <t>1 APRIL 2019</t>
    </r>
  </si>
  <si>
    <r>
      <t xml:space="preserve"> Cost-of-living adjustment with effect from </t>
    </r>
    <r>
      <rPr>
        <b/>
        <u/>
        <sz val="16"/>
        <color rgb="FFFF0000"/>
        <rFont val="Calibri"/>
        <family val="2"/>
        <scheme val="minor"/>
      </rPr>
      <t>1 April 2019</t>
    </r>
  </si>
  <si>
    <t>Type 1</t>
  </si>
  <si>
    <t>Type 2</t>
  </si>
  <si>
    <t>Type 3</t>
  </si>
  <si>
    <t>Type 4</t>
  </si>
  <si>
    <t>Type 5</t>
  </si>
  <si>
    <t>Type 6</t>
  </si>
  <si>
    <t>Type 7</t>
  </si>
  <si>
    <t>Type 8</t>
  </si>
  <si>
    <t>Type 9</t>
  </si>
  <si>
    <t>Type 10</t>
  </si>
  <si>
    <t>Estimate</t>
  </si>
  <si>
    <t>Year</t>
  </si>
  <si>
    <t>Years</t>
  </si>
  <si>
    <t>Code</t>
  </si>
  <si>
    <t>Number of working days FTE</t>
  </si>
  <si>
    <t>A</t>
  </si>
  <si>
    <t>B</t>
  </si>
  <si>
    <t>C</t>
  </si>
  <si>
    <t xml:space="preserve">D  </t>
  </si>
  <si>
    <t>E</t>
  </si>
  <si>
    <t xml:space="preserve">F  </t>
  </si>
  <si>
    <t>Weeks/year</t>
  </si>
  <si>
    <t>Public holidays</t>
  </si>
  <si>
    <t>Annual leave days</t>
  </si>
  <si>
    <t>Average sick days/year</t>
  </si>
  <si>
    <t>Working days/week</t>
  </si>
  <si>
    <t>Working hours/day</t>
  </si>
  <si>
    <t>Actual working days/year</t>
  </si>
  <si>
    <t>Actual working days/month</t>
  </si>
  <si>
    <t>Actual working days/week</t>
  </si>
  <si>
    <t>Actual working minutes/year</t>
  </si>
  <si>
    <t>H=G/12</t>
  </si>
  <si>
    <t>I=G/A</t>
  </si>
  <si>
    <t>DO NOT DELETE OR OVERWRITE</t>
  </si>
  <si>
    <t>Annual Attrition Rate (%)</t>
  </si>
  <si>
    <t>START-UP AND CAPITAL COSTS</t>
  </si>
  <si>
    <t>Inflated years</t>
  </si>
  <si>
    <t>Program List</t>
  </si>
  <si>
    <t>Children &gt;1 to &lt;5</t>
  </si>
  <si>
    <t>Children &lt;15</t>
  </si>
  <si>
    <t>Adolescents 10-19</t>
  </si>
  <si>
    <t>Youth 15-24</t>
  </si>
  <si>
    <t>Adults &gt;5</t>
  </si>
  <si>
    <t>Adults &gt;15</t>
  </si>
  <si>
    <t>Rehabiitation Therapist Categories</t>
  </si>
  <si>
    <t>Last updated: 2020/03/31</t>
  </si>
  <si>
    <t xml:space="preserve">Campaigns </t>
  </si>
  <si>
    <t>Administrative</t>
  </si>
  <si>
    <t>Service reference</t>
  </si>
  <si>
    <t>Use actual services at baseline or coverage calculation?</t>
  </si>
  <si>
    <t>COVERAGE AT BASELINE</t>
  </si>
  <si>
    <t>COVERAGE TARGETS</t>
  </si>
  <si>
    <t>Service type:</t>
  </si>
  <si>
    <t>Time required per service (indicate if minutes, hours, or days)</t>
  </si>
  <si>
    <t xml:space="preserve">Cadre </t>
  </si>
  <si>
    <t>COVERAGE RATES</t>
  </si>
  <si>
    <t xml:space="preserve">Human Resource Assumptions </t>
  </si>
  <si>
    <t>G=(A*E)-(B+C+D)</t>
  </si>
  <si>
    <t>Accountant/Cashier</t>
  </si>
  <si>
    <t>Office Staff/Receptionist</t>
  </si>
  <si>
    <t>Guards</t>
  </si>
  <si>
    <t>Cleaning staff</t>
  </si>
  <si>
    <t>Drivers</t>
  </si>
  <si>
    <t>PACKAGE OF SERVICES</t>
  </si>
  <si>
    <t>Target Population</t>
  </si>
  <si>
    <t>Calculate per population</t>
  </si>
  <si>
    <t>Total</t>
  </si>
  <si>
    <t xml:space="preserve">Cumulative Rate </t>
  </si>
  <si>
    <t>Year Cost Incurred</t>
  </si>
  <si>
    <t>Health System Level</t>
  </si>
  <si>
    <t>Select Currency:</t>
  </si>
  <si>
    <t>No.</t>
    <phoneticPr fontId="5" type="noConversion"/>
  </si>
  <si>
    <t>Product Code</t>
    <phoneticPr fontId="5" type="noConversion"/>
  </si>
  <si>
    <t>Product Features</t>
    <phoneticPr fontId="5" type="noConversion"/>
  </si>
  <si>
    <t>Retail Price （USD)</t>
    <phoneticPr fontId="5" type="noConversion"/>
  </si>
  <si>
    <t>MOQ</t>
    <phoneticPr fontId="9" type="noConversion"/>
  </si>
  <si>
    <t>Price for MOQ (USD)</t>
    <phoneticPr fontId="5" type="noConversion"/>
  </si>
  <si>
    <t>Product Picture</t>
    <phoneticPr fontId="5" type="noConversion"/>
  </si>
  <si>
    <t>100pcs</t>
  </si>
  <si>
    <t>Total Units (per year)</t>
  </si>
  <si>
    <t>Clerks</t>
  </si>
  <si>
    <t>Category</t>
  </si>
  <si>
    <t>Inflation rate (%)</t>
  </si>
  <si>
    <t>Estimating actual working time spent on service delivery</t>
  </si>
  <si>
    <r>
      <t xml:space="preserve">Country Database - </t>
    </r>
    <r>
      <rPr>
        <b/>
        <i/>
        <sz val="14"/>
        <color theme="0"/>
        <rFont val="Calibri"/>
        <family val="2"/>
        <scheme val="minor"/>
      </rPr>
      <t>all figures for 2020 unless otherwise noted</t>
    </r>
  </si>
  <si>
    <t>Optometrist</t>
  </si>
  <si>
    <t>Physiotherapist</t>
  </si>
  <si>
    <t>Occupational Therapist</t>
  </si>
  <si>
    <t>Medical Orthotist &amp; Prosthetist</t>
  </si>
  <si>
    <t>Chief Speech Therapist</t>
  </si>
  <si>
    <t>Chief Medical Orthotist &amp; Prosthetist</t>
  </si>
  <si>
    <t>Chief Occupational Therapist</t>
  </si>
  <si>
    <t>Chief Optometrist</t>
  </si>
  <si>
    <t>Chief Physiotherapist</t>
  </si>
  <si>
    <t>Chief Audiologist</t>
  </si>
  <si>
    <t>Chief Speech Therapist and Audiologist</t>
  </si>
  <si>
    <t xml:space="preserve">DD: Speech Therapist  </t>
  </si>
  <si>
    <t xml:space="preserve">DD: Medical Orthotics &amp; Prosthetists  </t>
  </si>
  <si>
    <t xml:space="preserve">DD: Occupational Therapy  </t>
  </si>
  <si>
    <t xml:space="preserve">DD: Optometry  </t>
  </si>
  <si>
    <t xml:space="preserve">DD: Physiotherapy  </t>
  </si>
  <si>
    <t xml:space="preserve">DD: Audiology  </t>
  </si>
  <si>
    <t xml:space="preserve">DD: Speech Therapy and Audiology  </t>
  </si>
  <si>
    <t>Cost Year</t>
  </si>
  <si>
    <t>Notes</t>
  </si>
  <si>
    <t>Grade 1</t>
  </si>
  <si>
    <t>Grade 2</t>
  </si>
  <si>
    <t xml:space="preserve">Grade 3 </t>
  </si>
  <si>
    <t>Median annual salaray</t>
  </si>
  <si>
    <t>Average annual salary</t>
  </si>
  <si>
    <t>Social Benefits plus Bonus (%)</t>
  </si>
  <si>
    <t>ASD: Speech Therapy</t>
  </si>
  <si>
    <t>ASD: Medical Orthotists &amp; Prosthetists</t>
  </si>
  <si>
    <t>ASD: Occupational Therapy</t>
  </si>
  <si>
    <t>ASD: Optometry</t>
  </si>
  <si>
    <t>ASD: Physiotherapy</t>
  </si>
  <si>
    <t>ASD: Audiology</t>
  </si>
  <si>
    <t>ASD: Speech Therapy and Audiology</t>
  </si>
  <si>
    <t>Units</t>
  </si>
  <si>
    <t>Incidence / Frequency reference</t>
  </si>
  <si>
    <t>Salary scales for therapeutic, diagnostic and other related allied health professionals</t>
  </si>
  <si>
    <t>Salary notch/TCE package: 1 April 2018 (Rpa)</t>
  </si>
  <si>
    <t>Salary notch/TCE package: 1 April 2019 (Rpa)</t>
  </si>
  <si>
    <t>Full-time notch</t>
  </si>
  <si>
    <t>Part-time notch</t>
  </si>
  <si>
    <r>
      <t xml:space="preserve">PUBLIC SERVICE ACT APPOINTEES NOT COVERED BY OSDs:                   </t>
    </r>
    <r>
      <rPr>
        <b/>
        <u/>
        <sz val="12"/>
        <color theme="0"/>
        <rFont val="Calibri"/>
        <family val="2"/>
        <scheme val="minor"/>
      </rPr>
      <t>1 APRIL 2019</t>
    </r>
  </si>
  <si>
    <t>Grade 6</t>
  </si>
  <si>
    <t>Grade 7</t>
  </si>
  <si>
    <t xml:space="preserve"> Vision Assistive Products</t>
    <phoneticPr fontId="9" type="noConversion"/>
  </si>
  <si>
    <t>Reading Glasses</t>
    <phoneticPr fontId="9" type="noConversion"/>
  </si>
  <si>
    <t xml:space="preserve">Have presbyopia (which occurs for most people as they age, beginning around the age of 40) and need assistance to focus on near (close) tasks such as reading, sewing etc. </t>
    <phoneticPr fontId="9" type="noConversion"/>
  </si>
  <si>
    <t>No.</t>
    <phoneticPr fontId="9" type="noConversion"/>
  </si>
  <si>
    <t>Product Code</t>
    <phoneticPr fontId="9" type="noConversion"/>
  </si>
  <si>
    <t>Product Features</t>
    <phoneticPr fontId="9" type="noConversion"/>
  </si>
  <si>
    <t>Retail Price (USD)</t>
    <phoneticPr fontId="9" type="noConversion"/>
  </si>
  <si>
    <t>Product Picture</t>
    <phoneticPr fontId="9" type="noConversion"/>
  </si>
  <si>
    <t>GUANHAO/TR190</t>
    <phoneticPr fontId="9" type="noConversion"/>
  </si>
  <si>
    <t>Material of mirror frame：TR90
Lens material：Resin lens
Suitable for crowd：Unisex
Magnification (diopters):1-4D                                       Weight:＜20g</t>
    <phoneticPr fontId="5" type="noConversion"/>
  </si>
  <si>
    <t>200pcs</t>
    <phoneticPr fontId="5" type="noConversion"/>
  </si>
  <si>
    <t>IV80200</t>
    <phoneticPr fontId="9" type="noConversion"/>
  </si>
  <si>
    <t>Fancy eye 100 degrees</t>
    <phoneticPr fontId="18" type="noConversion"/>
  </si>
  <si>
    <t>50pcs</t>
    <phoneticPr fontId="9" type="noConversion"/>
  </si>
  <si>
    <t>IV80201</t>
    <phoneticPr fontId="9" type="noConversion"/>
  </si>
  <si>
    <t>Fancy eye200degrees</t>
    <phoneticPr fontId="18" type="noConversion"/>
  </si>
  <si>
    <t>IV80202</t>
    <phoneticPr fontId="9" type="noConversion"/>
  </si>
  <si>
    <t>Fancy eye 300 degrees</t>
    <phoneticPr fontId="18" type="noConversion"/>
  </si>
  <si>
    <t>IV80203</t>
    <phoneticPr fontId="9" type="noConversion"/>
  </si>
  <si>
    <t>Fancy eye 400 degrees</t>
    <phoneticPr fontId="18" type="noConversion"/>
  </si>
  <si>
    <t>White Cane</t>
    <phoneticPr fontId="9" type="noConversion"/>
  </si>
  <si>
    <t>Have visual impairments or are blind, and need assistance in moving around.</t>
    <phoneticPr fontId="9" type="noConversion"/>
  </si>
  <si>
    <t>MTN—GC1D</t>
    <phoneticPr fontId="9" type="noConversion"/>
  </si>
  <si>
    <t>Ultrasonic Cane</t>
    <phoneticPr fontId="9" type="noConversion"/>
  </si>
  <si>
    <t>MZL5-2</t>
    <phoneticPr fontId="9" type="noConversion"/>
  </si>
  <si>
    <t>Multi-function music alarm blind stick</t>
    <phoneticPr fontId="9" type="noConversion"/>
  </si>
  <si>
    <t>MZL4--2</t>
    <phoneticPr fontId="9" type="noConversion"/>
  </si>
  <si>
    <t>A regular folding cane</t>
    <phoneticPr fontId="9" type="noConversion"/>
  </si>
  <si>
    <t>MZS-7</t>
    <phoneticPr fontId="9" type="noConversion"/>
  </si>
  <si>
    <t>Telescopic walking stick</t>
    <phoneticPr fontId="9" type="noConversion"/>
  </si>
  <si>
    <t>V-801A</t>
  </si>
  <si>
    <t>1. Execution standard: according to GB16930.1-2014 "Safety Color Mark for Blind Walking Stick" and GB16930.2-2009 "Technical Conditions for Blind Walking Stick"
2. Product composition: handle, staff body, rubber band and staff tip
3. Performance parameters:
1) The structural design of the handle is suitable for various correct holding in the use of blind stick. The upper end of the handle is equipped with an elastic wrist band, which is not easy to slip from the hand
2) The folding connection parts are firmly connected and have anti-loosing device
3) Four-section folding, folding, opening and safe use, no stuck phenomenon
4) The tip is suitable for cement, asphalt, brick and other hard pavement, easy to replace
4. Specification:
1) Length of staff: 121cm
2) Rod body diameter: 13mm, tube wall thickness: 1mm
3) Length after folding: 340mm
4) Minimum length of handle: ≥ 150mm
5. Material:
1) The rod body is made of aluminum alloy
2) The rod body is equipped with reflective film, and the reflective color is not less than the brightness of the four-grade reflective film
3) The handle is made of ABS engineering plastic, which is non-toxic, harmless, antibacterial, odorless, non-slip and insulated
4) The tip of the rod is made of nylon plus fiber for wear resistance and insulation
5) The section head is made of ABS plastic and aluminum alloy tube
6. Function: It has the function of vibration conduction signal and the feedback of knocking sound
7. Packaging: Equipped with independent packaging bags
8. Others: Inspection report issued by the National Quality Inspection Center</t>
    <phoneticPr fontId="5" type="noConversion"/>
  </si>
  <si>
    <t>50pcs</t>
  </si>
  <si>
    <t>V-835A</t>
  </si>
  <si>
    <t xml:space="preserve">1. Execution standard: according to GB16930.1-2014 "Safety Color Mark for Blind Walking Stick" and GB16930.2-2009 "Technical Conditions for Blind Walking Stick"
2. Product composition: handle, staff body, rubber band and staff tip
3. Performance parameters:
1) The structural design of the handle is suitable for various correct holding in the use of blind stick. The upper end of the handle is equipped with an elastic wrist band, which is not easy to slip from the hand
2) The folding connection parts are firmly connected and have anti-loosing device
3) Rod tip adopts rotary head design, suitable for cement, asphalt, brick and other hard pavement, easy to replace
4) Four-section folding, folding, opening and safe use, no stuck phenomenon
4. Specification:
1) Length of staff: 121cm
2) Rod body diameter: 13mm, tube wall thickness: 1mm
3) Length after folding: 340mm
4) Minimum length of handle: ≥ 150mm
5. Material:
1) The rod body is made of aluminum alloy
2) The rod body is equipped with reflective film, and the reflective color is not less than the brightness of the four-grade reflective film
3) The handle is made of ABS engineering plastic, which is non-toxic, harmless, antibacterial, odorless, non-slip and insulated
4) The tip of the rod is made of nylon plus fiber for wear resistance and insulation
5) The section head is made of ABS plastic and aluminum alloy tube
6. Function: It has the function of vibration conduction signal and the feedback of knocking sound
7. Packaging: Equipped with independent packaging bags
8. Others: Inspection report issued by the National Quality Inspection Center
</t>
    <phoneticPr fontId="5" type="noConversion"/>
  </si>
  <si>
    <t xml:space="preserve">50pcs            </t>
  </si>
  <si>
    <t>V-886A</t>
  </si>
  <si>
    <t>1. Implementation standard: according to GB16930.1 -- 2014 "Safety Color Mark for Blind Walking Stick" and GB16930.2 -- 2009 "Technical Conditions for Blind Walking Stick" national standard 
2. Product composition: handle, staff body, rubber band and staff tip
3. Performance parameters:
1) The structural design of the handle is suitable for various correct holding in the use of blind stick. The upper end of the handle is equipped with an elastic wrist band, which is not easy to slip from the hand
2) The folding connection parts are firmly connected and have anti-loosing device
3) The tip of the rod is designed with a rotating head. Through the spontaneous electric device, the LED lamp inside the roller emits a color warning light; Suitable for cement, asphalt, brick and other hard pavement, easy to replace 
4) four-section folding, folding and opening and safe to use, no stuck phenomenon
4. Specification:
1) Length of staff: 122cm
2) Rod body diameter: 13mm, tube wall thickness: 1mm
3) Length after folding: 340mm
4) Minimum length of handle: ≥ 150mm
5. Material:
1) The rod body is made of aluminum alloy
2) The rod body is equipped with reflective film, and the reflective color is not less than the brightness of the four-grade reflective film
3) The handle is made of ABS engineering plastic, which is non-toxic, harmless, antibacterial, odorless, non-slip and insulated
4) The tip of the rod is made of nylon plus fiber for wear resistance and insulation
5) The section head is made of ABS plastic and aluminum alloy tube
6. Function: Flash reminder function, vibration conduction signal function, and feedback of knocking sound
7. Packaging: Equipped with independent packaging bags</t>
    <phoneticPr fontId="5" type="noConversion"/>
  </si>
  <si>
    <t>Hand Held Magnifier</t>
    <phoneticPr fontId="9" type="noConversion"/>
  </si>
  <si>
    <t xml:space="preserve">Are any age and have low vision which cannot be fully corrected by glasses. </t>
    <phoneticPr fontId="9" type="noConversion"/>
  </si>
  <si>
    <t>GSC04</t>
  </si>
  <si>
    <t>Diopter:12D
diameter：Φ50mm
Magnification：4X</t>
    <phoneticPr fontId="9" type="noConversion"/>
  </si>
  <si>
    <t>GSC06</t>
  </si>
  <si>
    <t>Diopter:12D
diamete: Φ50mm
Magnification：6X</t>
    <phoneticPr fontId="9" type="noConversion"/>
  </si>
  <si>
    <t>SC025</t>
    <phoneticPr fontId="9" type="noConversion"/>
  </si>
  <si>
    <t>Diopter:6D
diameter: Φ80mm
Magnification：2.5X</t>
    <phoneticPr fontId="9" type="noConversion"/>
  </si>
  <si>
    <t>SC03</t>
  </si>
  <si>
    <t>Diopter:8D
diameter: Φ60mm
Magnification：3X</t>
    <phoneticPr fontId="9" type="noConversion"/>
  </si>
  <si>
    <t>SC04</t>
    <phoneticPr fontId="9" type="noConversion"/>
  </si>
  <si>
    <t>Diopter:12D
diameter: Φ50mm
Magnification：4X</t>
    <phoneticPr fontId="9" type="noConversion"/>
  </si>
  <si>
    <t>3x magnifying glass, LED light, loaded with No.5 battery, can be seen at night and foldable</t>
    <phoneticPr fontId="5" type="noConversion"/>
  </si>
  <si>
    <t>GOLF</t>
  </si>
  <si>
    <t>With a magnification of about 2.5 times, it has a 3-level touch dimming design to meet the visual needs of different users. Besides, the type-C port charging function is adopted to make charging more convenient and easy. At the same time, a fixed focus bracket is provided to realize fixed focus viewing and make reading easier.</t>
    <phoneticPr fontId="5" type="noConversion"/>
  </si>
  <si>
    <t>Stand Magnifier</t>
    <phoneticPr fontId="9" type="noConversion"/>
  </si>
  <si>
    <t>LS03</t>
    <phoneticPr fontId="9" type="noConversion"/>
  </si>
  <si>
    <t>Light Source：LED（Light-emitting diode）
diameter：90mm
Magnification：3X</t>
    <phoneticPr fontId="9" type="noConversion"/>
  </si>
  <si>
    <t>LS05</t>
    <phoneticPr fontId="9" type="noConversion"/>
  </si>
  <si>
    <t>Light Source：LED（Light-emitting diode）
diameter：Φ50mm
Magnification：5X</t>
    <phoneticPr fontId="9" type="noConversion"/>
  </si>
  <si>
    <t>FREE</t>
  </si>
  <si>
    <t>With a magnification of about 1.7 times, achieve reading leasurely and freeing both hands; the product not only can be used by hanging in front of chest, but also be used as a desktop magnifyng glass by standing the hose on table.</t>
    <phoneticPr fontId="5" type="noConversion"/>
  </si>
  <si>
    <t>Piano</t>
  </si>
  <si>
    <t>_</t>
    <phoneticPr fontId="9" type="noConversion"/>
  </si>
  <si>
    <t>Dome Magnifier</t>
    <phoneticPr fontId="9" type="noConversion"/>
  </si>
  <si>
    <t>ZZ021</t>
  </si>
  <si>
    <t>Diopter:10D
diameter: Φ60*50mm Magnification：3.5X</t>
    <phoneticPr fontId="9" type="noConversion"/>
  </si>
  <si>
    <t>ZZ020</t>
  </si>
  <si>
    <t>Diopter:8D
diameter:Φ75*65mm
Magnification：3X</t>
    <phoneticPr fontId="9" type="noConversion"/>
  </si>
  <si>
    <t>XC</t>
  </si>
  <si>
    <t>Unique large screen in 7cm lens diameter, about 3 times magnification, easy to read books and newspapers, etc.; waist retraction design makes it more convenient for middle-aged and elderly women to use, and the arc design is more beautiful. Equipped with LED light to relieve fatigue.</t>
    <phoneticPr fontId="5" type="noConversion"/>
  </si>
  <si>
    <t>Digital Magnifier</t>
    <phoneticPr fontId="9" type="noConversion"/>
  </si>
  <si>
    <t xml:space="preserve">Portable systems that display an enlarged image of a close object captured by a video camera. </t>
    <phoneticPr fontId="9" type="noConversion"/>
  </si>
  <si>
    <t>ZM-Lite01</t>
  </si>
  <si>
    <t>Acesight VR Lite Wearable Electronic Video Magnifier</t>
    <phoneticPr fontId="5" type="noConversion"/>
  </si>
  <si>
    <t>80pcs</t>
  </si>
  <si>
    <t>EM-RV4VL</t>
  </si>
  <si>
    <t>Snow 4.3 Handheld Video Magnifier</t>
    <phoneticPr fontId="5" type="noConversion"/>
  </si>
  <si>
    <t>EM-HD5P</t>
  </si>
  <si>
    <t>M5 HD Plus Handheld Video Magnifier</t>
    <phoneticPr fontId="5" type="noConversion"/>
  </si>
  <si>
    <t>EM-RV7P</t>
  </si>
  <si>
    <t>Snow 7HD Plus Handheld Video Magnifier</t>
    <phoneticPr fontId="5" type="noConversion"/>
  </si>
  <si>
    <t>DM-SD19Z+</t>
  </si>
  <si>
    <t>Panda SD 19 inch Desktop Video Magnifier</t>
    <phoneticPr fontId="5" type="noConversion"/>
  </si>
  <si>
    <t>20pcs</t>
  </si>
  <si>
    <t>Explorē 8</t>
  </si>
  <si>
    <t xml:space="preserve">Zoom in every now and then
Color contrast    </t>
    <phoneticPr fontId="9" type="noConversion"/>
  </si>
  <si>
    <t>20pcs</t>
    <phoneticPr fontId="5" type="noConversion"/>
  </si>
  <si>
    <t>Explorē 5</t>
  </si>
  <si>
    <t>II08</t>
    <phoneticPr fontId="5" type="noConversion"/>
  </si>
  <si>
    <t xml:space="preserve">TZC   </t>
  </si>
  <si>
    <t>The magnification is about 5-7 times. It adopts the principle of camera lens and rotates the focus to meet different needs of people. The lighting design of stepless dimming can meet the different needs of middle-aged and elderly people for light sensitivity and adapt to a variety of application scenarios.</t>
    <phoneticPr fontId="5" type="noConversion"/>
  </si>
  <si>
    <t>Screen Reader</t>
    <phoneticPr fontId="9" type="noConversion"/>
  </si>
  <si>
    <t>Software that interprets what is being displayed on the screen and presents it to the user with text-to-speech, sound icons, or a braille output</t>
    <phoneticPr fontId="9" type="noConversion"/>
  </si>
  <si>
    <t>Standard</t>
    <phoneticPr fontId="9" type="noConversion"/>
  </si>
  <si>
    <t>Screen reading</t>
    <phoneticPr fontId="9" type="noConversion"/>
  </si>
  <si>
    <t>20sets</t>
    <phoneticPr fontId="5" type="noConversion"/>
  </si>
  <si>
    <t>Smart Reader</t>
    <phoneticPr fontId="5" type="noConversion"/>
  </si>
  <si>
    <t xml:space="preserve">Help patients with visual impairment broadcast the recognized text and detected text in voice form.                              </t>
    <phoneticPr fontId="9" type="noConversion"/>
  </si>
  <si>
    <t>SR-W1</t>
  </si>
  <si>
    <t xml:space="preserve">Based on computer vision and artificial intelligence technology, this wearable intelligent device can convert text information into speech, and assist people with vision fatigue, weak vision and vision impairment to read and recognize books, magazines, mails, medicine boxes, banknotes, certificates, etc.                                </t>
    <phoneticPr fontId="5" type="noConversion"/>
  </si>
  <si>
    <t>5pcs</t>
  </si>
  <si>
    <t>Smart glasses</t>
    <phoneticPr fontId="9" type="noConversion"/>
  </si>
  <si>
    <t xml:space="preserve">Using auditory signals to help people with vision impairment travel, real-time obstacle avoidance, object recognition and accurate navigation.                                                                                                                </t>
    <phoneticPr fontId="9" type="noConversion"/>
  </si>
  <si>
    <t>AngelEye N1(B)</t>
  </si>
  <si>
    <t xml:space="preserve">Based on computer vision and artificial intelligence technology, human eyes are simulated, and visual signals are transformed into auditory signals to assist visually impaired people to perceive their surroundings and travel safely. It has the functions of real-time obstacle avoidance, object recognition, text recognition, banknote recognition and travel navigation.                           </t>
    <phoneticPr fontId="5" type="noConversion"/>
  </si>
  <si>
    <t>Mobility</t>
  </si>
  <si>
    <t>Salary Scales</t>
  </si>
  <si>
    <t>Assistive Products Catalogue</t>
  </si>
  <si>
    <r>
      <rPr>
        <b/>
        <sz val="10"/>
        <rFont val="Calibri"/>
        <family val="2"/>
        <scheme val="minor"/>
      </rPr>
      <t>Last updated:</t>
    </r>
    <r>
      <rPr>
        <sz val="10"/>
        <rFont val="Calibri"/>
        <family val="2"/>
        <scheme val="minor"/>
      </rPr>
      <t xml:space="preserve"> 2019/04/01</t>
    </r>
  </si>
  <si>
    <t>Last updated:</t>
  </si>
  <si>
    <t>FINANCING</t>
  </si>
  <si>
    <t>Source of financing</t>
  </si>
  <si>
    <t>Program input covered</t>
  </si>
  <si>
    <t>%</t>
  </si>
  <si>
    <t>Other Recurrent Costs</t>
  </si>
  <si>
    <t>Start-up Costs</t>
  </si>
  <si>
    <t>Capital Costs</t>
  </si>
  <si>
    <t>Cost by Input</t>
  </si>
  <si>
    <t xml:space="preserve">Staff costs </t>
  </si>
  <si>
    <t>SUMMARY OF COSTS BY INPUT</t>
  </si>
  <si>
    <t xml:space="preserve">Total </t>
  </si>
  <si>
    <t>FINANCING AVAILABLE BY INPUT</t>
  </si>
  <si>
    <t>FINANCING GAP</t>
  </si>
  <si>
    <t>DETAILED COST BREAKDOWN</t>
  </si>
  <si>
    <t xml:space="preserve">Program </t>
  </si>
  <si>
    <t>Name of Assistive Device or Supply</t>
  </si>
  <si>
    <t>Number of episodes/cases per target population</t>
  </si>
  <si>
    <t>Frequency (services other than curative and preventive)</t>
  </si>
  <si>
    <t>Weekly</t>
  </si>
  <si>
    <t>Twice a month</t>
  </si>
  <si>
    <t>Monthly</t>
  </si>
  <si>
    <t>Quarterly</t>
  </si>
  <si>
    <t>Twice a year</t>
  </si>
  <si>
    <t>Yearly</t>
  </si>
  <si>
    <t>Frequency of Service Provision</t>
  </si>
  <si>
    <t>Total units per service</t>
  </si>
  <si>
    <t>What is the % mark-up on assistive devices and supplies for transport, storage, management, and distribution?</t>
  </si>
  <si>
    <t>MASTER LIST OF SERVICES</t>
  </si>
  <si>
    <t>Target Population Size</t>
  </si>
  <si>
    <t>Expected / Needed Number of Services</t>
  </si>
  <si>
    <t>Episodes/cases per target population</t>
  </si>
  <si>
    <t>Frequency (services that are not preventive or curative)</t>
  </si>
  <si>
    <t>Episodes / frequency</t>
  </si>
  <si>
    <t>TOTAL</t>
  </si>
  <si>
    <t>All Male</t>
  </si>
  <si>
    <t>All Female</t>
  </si>
  <si>
    <t>Children 2-59 months</t>
  </si>
  <si>
    <t>Children 6-59 months</t>
  </si>
  <si>
    <t>Male Adult</t>
  </si>
  <si>
    <t>Female Adult</t>
  </si>
  <si>
    <t>Total Other Recurrent Costs</t>
  </si>
  <si>
    <t>Total Capital Cost</t>
  </si>
  <si>
    <t>Total Start-up Cost</t>
  </si>
  <si>
    <t>Total Start-up and Capital Costs</t>
  </si>
  <si>
    <t>Total minutes required for service provision</t>
  </si>
  <si>
    <t>Time per Service</t>
  </si>
  <si>
    <t>Time per Service (min)</t>
  </si>
  <si>
    <t>Services Required (based on coverage calculations)</t>
  </si>
  <si>
    <t>Source / Reference</t>
  </si>
  <si>
    <t>Total  Population '000</t>
  </si>
  <si>
    <t>Speech Therapist</t>
  </si>
  <si>
    <t>FINANCING BY DONOR</t>
  </si>
  <si>
    <t>Funding Gap</t>
  </si>
  <si>
    <t xml:space="preserve">Total population covered </t>
  </si>
  <si>
    <t>MANUAL ENTRY</t>
  </si>
  <si>
    <t>Manual entry</t>
  </si>
  <si>
    <t>DO NOT OVERWRITE OR DELETE THESE COLUMNS</t>
  </si>
  <si>
    <t>Number of Participants</t>
  </si>
  <si>
    <t>% population targeted by the program</t>
  </si>
  <si>
    <t xml:space="preserve">Total population covered by the program </t>
  </si>
  <si>
    <t xml:space="preserve">Service/intervention </t>
  </si>
  <si>
    <t>Category of Service</t>
  </si>
  <si>
    <t>Baseline (2018)</t>
  </si>
  <si>
    <t>Financing</t>
  </si>
  <si>
    <t xml:space="preserve">UNITS  </t>
  </si>
  <si>
    <t xml:space="preserve">COSTS </t>
  </si>
  <si>
    <t>Units per treatment</t>
  </si>
  <si>
    <t>Cost per treatment</t>
  </si>
  <si>
    <t>Total Units, all treatments</t>
  </si>
  <si>
    <t>Total Costs, all treatments</t>
  </si>
  <si>
    <t xml:space="preserve">Therapeutic, Diagnostic Allied Health Professionals </t>
  </si>
  <si>
    <t>Other1</t>
  </si>
  <si>
    <t>Other2</t>
  </si>
  <si>
    <t>Annual salary increase %</t>
  </si>
  <si>
    <t>J=G*F</t>
  </si>
  <si>
    <t>Actual working hours/year</t>
  </si>
  <si>
    <t>K=J*60</t>
  </si>
  <si>
    <t>Cadre</t>
  </si>
  <si>
    <t xml:space="preserve">Available service delivery hours </t>
  </si>
  <si>
    <t>NUMBERS OF SERVICES</t>
  </si>
  <si>
    <t>TOTAL RECURRENT COSTS BY SERVICE</t>
  </si>
  <si>
    <t>TOTAL DIRECT CHW SALARY COSTS BY SERVICE</t>
  </si>
  <si>
    <t>RECURRENT COST PER CAPITA BY SERVICE</t>
  </si>
  <si>
    <t>ASSISTIVE DEVICES AND SUPPLIES COST PER SERVICE</t>
  </si>
  <si>
    <t>RT Category providing service</t>
  </si>
  <si>
    <t xml:space="preserve">Assistive Devices </t>
  </si>
  <si>
    <t>Unit</t>
  </si>
  <si>
    <t>TOTAL UNITS REQUIRED</t>
  </si>
  <si>
    <t xml:space="preserve">SERVICES </t>
  </si>
  <si>
    <t>Population Summary</t>
  </si>
  <si>
    <t>AHC</t>
  </si>
  <si>
    <t xml:space="preserve">Number of Service by Category </t>
  </si>
  <si>
    <t>Total Program Cost</t>
  </si>
  <si>
    <t>Recurrent Cost</t>
  </si>
  <si>
    <t>Start-up and Capital Costs</t>
  </si>
  <si>
    <t>Total Cost per Capita (total population)</t>
  </si>
  <si>
    <t>Recurrent Cost Per Capita (total population)</t>
  </si>
  <si>
    <t>Total Cost per Capita (population covered)</t>
  </si>
  <si>
    <t>Recurrent Cost Per Capita (population covered)</t>
  </si>
  <si>
    <t xml:space="preserve">Total  </t>
  </si>
  <si>
    <t>Total Funding Gap</t>
  </si>
  <si>
    <t>Total Funding Needed</t>
  </si>
  <si>
    <t>Developed by Clinton Health Access Initiative (CHAI) for ATscale, Global Partnership for Assistive Technology</t>
  </si>
  <si>
    <t>DISCLAIMERS</t>
  </si>
  <si>
    <t>This is an open-source tool - users please note that any changes in the structure or formulas may result in errors.</t>
  </si>
  <si>
    <t>Some default data are available in the tool, please ensure before using that they are the most accurate for your country.</t>
  </si>
  <si>
    <t>TOOL USER AND DATA ENTRY GUIDE</t>
  </si>
  <si>
    <t>Data Entry</t>
  </si>
  <si>
    <r>
      <t xml:space="preserve">All data entry must be completed in the </t>
    </r>
    <r>
      <rPr>
        <b/>
        <i/>
        <u/>
        <sz val="12"/>
        <rFont val="Calibri"/>
        <family val="2"/>
        <scheme val="minor"/>
      </rPr>
      <t>light blue shaded cells only</t>
    </r>
    <r>
      <rPr>
        <b/>
        <i/>
        <sz val="12"/>
        <rFont val="Calibri"/>
        <family val="2"/>
        <scheme val="minor"/>
      </rPr>
      <t>. Data entry may occur as direct entry or selection from a drop-down menu.</t>
    </r>
  </si>
  <si>
    <t>Caution: Do not enter data into white cells, as they may contain formulas. Do not enter data into greyed out cells.</t>
  </si>
  <si>
    <t>Worksheet Overview</t>
  </si>
  <si>
    <t>Incidence/ frequency reference</t>
  </si>
  <si>
    <t>STAFF COSTS</t>
  </si>
  <si>
    <t>HCW category providing service</t>
  </si>
  <si>
    <t>Select method of calculating number of HCWs</t>
  </si>
  <si>
    <t>SUMMARY - Recurrent training HCWs</t>
  </si>
  <si>
    <t>Total Cost HCW training</t>
  </si>
  <si>
    <t>ASSISTIVE PRODUCTS AND SUPPLIES</t>
  </si>
  <si>
    <t>STANDARD TREATMENT GUIDELINES</t>
  </si>
  <si>
    <t>ASSISTIVE PRODUCTS AND SUPPLIES QUANTIFICATION</t>
  </si>
  <si>
    <t>Number of HCWs</t>
  </si>
  <si>
    <t>HEALTH CARE WORKER NUMBERS</t>
  </si>
  <si>
    <t>SUMMARY - HCW Target Numbers per Year</t>
  </si>
  <si>
    <t>All HCWs</t>
  </si>
  <si>
    <t>SUMMARY - Services per HCW category</t>
  </si>
  <si>
    <t>SUMMARY OF STANDARD TREATMENT GUIDELINES</t>
  </si>
  <si>
    <t>ASSISTIVE PRODUCTS AND SUPPLIES UNITS</t>
  </si>
  <si>
    <t>ASSISTIVE PRODUCTS AND SUPPLIES COSTS</t>
  </si>
  <si>
    <t>I. STAFF COSTS</t>
  </si>
  <si>
    <t>Total Staff Costs</t>
  </si>
  <si>
    <t>II. ASSISTIVE PRODUCTS AND SUPPLIES</t>
  </si>
  <si>
    <t>Total Assitive Products and Supplies Costs</t>
  </si>
  <si>
    <t xml:space="preserve">Assistive Products and Supplies </t>
  </si>
  <si>
    <t>III. TRAINING</t>
  </si>
  <si>
    <t>V. OTHER RECURRENT COSTS</t>
  </si>
  <si>
    <t>TOTAL ASSISTIVE DEVICES AND SUPPLIES COST BY SERVICE</t>
  </si>
  <si>
    <t>Coverage Calculation</t>
  </si>
  <si>
    <t>Desired ratio population per HCW i.e. X population per HCW)</t>
  </si>
  <si>
    <t xml:space="preserve">Single vision spectales </t>
  </si>
  <si>
    <t xml:space="preserve">Total units </t>
  </si>
  <si>
    <t xml:space="preserve">Training Costs </t>
  </si>
  <si>
    <t>Bifocal</t>
  </si>
  <si>
    <t>National population:</t>
  </si>
  <si>
    <t>Number of HCWs, by category</t>
  </si>
  <si>
    <t>Total Number of Services, by Category</t>
  </si>
  <si>
    <t>Recurrent Cost per HCW (Total Recurrent Cost / Total HCWs)</t>
  </si>
  <si>
    <t>Section</t>
  </si>
  <si>
    <t>Tab Color</t>
  </si>
  <si>
    <t>Worksheets Included</t>
  </si>
  <si>
    <t>Worksheet Description</t>
  </si>
  <si>
    <t xml:space="preserve">Number of Additional Participants </t>
  </si>
  <si>
    <t xml:space="preserve">Description </t>
  </si>
  <si>
    <t>Name of Assistive Product or Supply</t>
  </si>
  <si>
    <t>Unit cost (ZAR)</t>
  </si>
  <si>
    <t>EQUIPMENT</t>
  </si>
  <si>
    <t>Initial Year of Purchase</t>
  </si>
  <si>
    <t>Replacement Frequency (Years)</t>
  </si>
  <si>
    <t>Item</t>
  </si>
  <si>
    <t>IV. EQUIPMENT</t>
  </si>
  <si>
    <t>VI. START-UP AND CAPITAL COSTS</t>
  </si>
  <si>
    <t>Equipment</t>
  </si>
  <si>
    <t>Title Page</t>
  </si>
  <si>
    <t>Parameters</t>
  </si>
  <si>
    <t>Scale-up</t>
  </si>
  <si>
    <t>Package of Service</t>
  </si>
  <si>
    <t>Coverge</t>
  </si>
  <si>
    <t>Staff Costs</t>
  </si>
  <si>
    <t>Training</t>
  </si>
  <si>
    <t>Summary Tables</t>
  </si>
  <si>
    <t>Graphs</t>
  </si>
  <si>
    <t>Assistive Products Quantification</t>
  </si>
  <si>
    <t>Additional Worksheets (Intermediate calculations)</t>
  </si>
  <si>
    <t>The following worksheets contain intermediate calculations and have been hidden to avoid accidental deletion. No data entry is required in these sheets.</t>
  </si>
  <si>
    <t>To unhide, right-click on any worksheet tab, select "Unhide", then select the worksheet to unhide.</t>
  </si>
  <si>
    <t>Summary_STG</t>
  </si>
  <si>
    <t>Treatment Guidelines</t>
  </si>
  <si>
    <t xml:space="preserve">Demography </t>
  </si>
  <si>
    <t>Summary Services</t>
  </si>
  <si>
    <t>Summary HCW</t>
  </si>
  <si>
    <t>Assistive Products Costs</t>
  </si>
  <si>
    <t>Quantification</t>
  </si>
  <si>
    <t>Cost per Service</t>
  </si>
  <si>
    <t>Tool Title Page</t>
  </si>
  <si>
    <t>Input the country and Program general information</t>
  </si>
  <si>
    <t>Input scale-up assumptions (if applicable)</t>
  </si>
  <si>
    <t>Input the list of services, target population, and incidence rate</t>
  </si>
  <si>
    <t>Input current utilization and coverage assumptions for each service</t>
  </si>
  <si>
    <t>Input the cost of continuous trainings and TOTs</t>
  </si>
  <si>
    <t>Input equipment costs</t>
  </si>
  <si>
    <t>Input the list of assistive products and their costs</t>
  </si>
  <si>
    <t>Input other recurrent program related costs</t>
  </si>
  <si>
    <t>Input funding commitments and anticipated funds towards the program</t>
  </si>
  <si>
    <t>Input the Standard Treatment Guidelines (STGs) for each service in the package</t>
  </si>
  <si>
    <t>Summary of key results presented in table format</t>
  </si>
  <si>
    <t>Key results presented in graph format</t>
  </si>
  <si>
    <t>Assistive products units and costs required to deliver package of services</t>
  </si>
  <si>
    <t>Summary of STGs entered for services in package</t>
  </si>
  <si>
    <t>Calculation of population breakdown by age and target population groups</t>
  </si>
  <si>
    <t>Calculation of number of services provided</t>
  </si>
  <si>
    <t>Summary of HCW numbers, salary costs, and training requirements</t>
  </si>
  <si>
    <t>Calculation of total medicines units and costs</t>
  </si>
  <si>
    <t>Calculation of cost by Input (in currency entered in tool)</t>
  </si>
  <si>
    <t>Calculation of cost by Service (in currency entered in tool)</t>
  </si>
  <si>
    <t>Input information about HCW categories and salary</t>
  </si>
  <si>
    <t>Assitive Product Provision Costing Tool v1</t>
  </si>
  <si>
    <t>Assitive Product Provision Costing Tool Overview</t>
  </si>
  <si>
    <t>Intentionally blank</t>
  </si>
  <si>
    <t xml:space="preserve">The Assistive Product Provision Cositng Tool is an excel-based tool suited for planners and managers to determine the costs and funding of implementing assistive product provision program. The tool is customizable and can be used to quantify the resource inputs required in the introduction and expansion of an assistive product provision program in developing country settings at different levels of experience. This Tool comprises of start-up costs, training costs and service delivery costs at all levels of the health system. </t>
  </si>
  <si>
    <t>Assistive Product Provision Costing Tool v1</t>
  </si>
  <si>
    <t xml:space="preserve">Frequency of training sessions (in-service) </t>
  </si>
  <si>
    <t>Units per Health system level</t>
  </si>
  <si>
    <t>Start-up_Capital Costs</t>
  </si>
  <si>
    <t>Input start-up and capital costs</t>
  </si>
  <si>
    <t xml:space="preserve">Financing overview by donor and cost category </t>
  </si>
  <si>
    <t>Amount or share of the total cost category amount per year</t>
  </si>
  <si>
    <t xml:space="preserve">Funding per year, per donor and per cost category </t>
  </si>
  <si>
    <t>v1 as of: 12-August-2021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</si>
</sst>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_-;\-* #,##0.00_-;_-* &quot;-&quot;??_-;_-@_-"/>
    <numFmt numFmtId="165" formatCode="_(* #,##0.00_);_(* \(#,##0.00\);_(* &quot;-&quot;??_);_(@_)"/>
    <numFmt numFmtId="166" formatCode="_(* #,##0.0_);_(* \(#,##0.0\);_(* &quot;-&quot;??_);_(@_)"/>
    <numFmt numFmtId="167" formatCode="0.0"/>
    <numFmt numFmtId="168" formatCode="_(* #,##0_);_(* \(#,##0\);_(* &quot;-&quot;??_);_(@_)"/>
    <numFmt numFmtId="169" formatCode="0.0%"/>
    <numFmt numFmtId="170" formatCode="_ * #,##0_ ;_ * \-#,##0_ ;_ * &quot;-&quot;_ ;_ @_ "/>
    <numFmt numFmtId="171" formatCode="_ * #,##0_ ;_ * \-#,##0_ ;_ * &quot;-&quot;??_ ;_ @_ "/>
    <numFmt numFmtId="172" formatCode="0.00_);[Red]\(0.00\)"/>
    <numFmt numFmtId="173" formatCode="_(* #,##0.0000_);_(* \(#,##0.0000\);_(* &quot;-&quot;??_);_(@_)"/>
    <numFmt numFmtId="174" formatCode="_(* #,##0.00000_);_(* \(#,##0.00000\);_(* &quot;-&quot;??_);_(@_)"/>
    <numFmt numFmtId="175" formatCode="_(* #,##0.000000_);_(* \(#,##0.000000\);_(* &quot;-&quot;??_);_(@_)"/>
    <numFmt numFmtId="176" formatCode="_-* #,##0_-;\-* #,##0_-;_-* &quot;-&quot;??_-;_-@_-"/>
  </numFmts>
  <fonts count="93">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8"/>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b/>
      <sz val="9"/>
      <name val="Calibri"/>
      <family val="2"/>
      <scheme val="minor"/>
    </font>
    <font>
      <b/>
      <i/>
      <sz val="11"/>
      <color theme="1"/>
      <name val="Calibri"/>
      <family val="2"/>
      <scheme val="minor"/>
    </font>
    <font>
      <sz val="12"/>
      <color theme="1"/>
      <name val="Times New Roman"/>
      <family val="2"/>
    </font>
    <font>
      <b/>
      <sz val="11"/>
      <name val="Calibri"/>
      <family val="2"/>
      <scheme val="minor"/>
    </font>
    <font>
      <b/>
      <sz val="14"/>
      <color theme="0"/>
      <name val="Calibri"/>
      <family val="2"/>
      <scheme val="minor"/>
    </font>
    <font>
      <b/>
      <sz val="11"/>
      <color theme="8" tint="-0.249977111117893"/>
      <name val="Calibri"/>
      <family val="2"/>
      <scheme val="minor"/>
    </font>
    <font>
      <b/>
      <sz val="11"/>
      <color theme="8" tint="-0.499984740745262"/>
      <name val="Calibri"/>
      <family val="2"/>
      <scheme val="minor"/>
    </font>
    <font>
      <b/>
      <i/>
      <sz val="11"/>
      <color rgb="FFFF0000"/>
      <name val="Calibri"/>
      <family val="2"/>
      <scheme val="minor"/>
    </font>
    <font>
      <b/>
      <i/>
      <sz val="11"/>
      <name val="Calibri"/>
      <family val="2"/>
      <scheme val="minor"/>
    </font>
    <font>
      <sz val="11"/>
      <color rgb="FFFF0000"/>
      <name val="Calibri"/>
      <family val="2"/>
      <scheme val="minor"/>
    </font>
    <font>
      <b/>
      <sz val="11"/>
      <color rgb="FFFF0000"/>
      <name val="Calibri"/>
      <family val="2"/>
      <scheme val="minor"/>
    </font>
    <font>
      <b/>
      <i/>
      <sz val="10"/>
      <color theme="1"/>
      <name val="Calibri"/>
      <family val="2"/>
      <scheme val="minor"/>
    </font>
    <font>
      <sz val="10"/>
      <name val="Arial"/>
      <family val="2"/>
    </font>
    <font>
      <sz val="10"/>
      <name val="Arial"/>
      <family val="2"/>
    </font>
    <font>
      <b/>
      <sz val="16"/>
      <color theme="0"/>
      <name val="Calibri"/>
      <family val="2"/>
      <scheme val="minor"/>
    </font>
    <font>
      <b/>
      <u/>
      <sz val="16"/>
      <color theme="0"/>
      <name val="Calibri"/>
      <family val="2"/>
      <scheme val="minor"/>
    </font>
    <font>
      <sz val="10"/>
      <name val="Calibri"/>
      <family val="2"/>
      <scheme val="minor"/>
    </font>
    <font>
      <b/>
      <sz val="12"/>
      <color theme="0"/>
      <name val="Calibri"/>
      <family val="2"/>
      <scheme val="minor"/>
    </font>
    <font>
      <b/>
      <sz val="12"/>
      <color rgb="FF0000FF"/>
      <name val="Calibri"/>
      <family val="2"/>
      <scheme val="minor"/>
    </font>
    <font>
      <sz val="12"/>
      <name val="Calibri"/>
      <family val="2"/>
      <scheme val="minor"/>
    </font>
    <font>
      <b/>
      <u/>
      <sz val="10"/>
      <name val="Calibri"/>
      <family val="2"/>
      <scheme val="minor"/>
    </font>
    <font>
      <b/>
      <sz val="10"/>
      <name val="Calibri"/>
      <family val="2"/>
      <scheme val="minor"/>
    </font>
    <font>
      <b/>
      <sz val="8"/>
      <name val="Calibri"/>
      <family val="2"/>
      <scheme val="minor"/>
    </font>
    <font>
      <u/>
      <sz val="11"/>
      <name val="Calibri"/>
      <family val="2"/>
      <scheme val="minor"/>
    </font>
    <font>
      <b/>
      <u/>
      <sz val="14"/>
      <name val="Calibri"/>
      <family val="2"/>
      <scheme val="minor"/>
    </font>
    <font>
      <b/>
      <u/>
      <sz val="9"/>
      <name val="Calibri"/>
      <family val="2"/>
      <scheme val="minor"/>
    </font>
    <font>
      <sz val="9"/>
      <name val="Calibri"/>
      <family val="2"/>
      <scheme val="minor"/>
    </font>
    <font>
      <b/>
      <sz val="14"/>
      <name val="Calibri"/>
      <family val="2"/>
      <scheme val="minor"/>
    </font>
    <font>
      <b/>
      <sz val="20"/>
      <color theme="0"/>
      <name val="Calibri"/>
      <family val="2"/>
      <scheme val="minor"/>
    </font>
    <font>
      <b/>
      <sz val="22"/>
      <name val="Calibri"/>
      <family val="2"/>
      <scheme val="minor"/>
    </font>
    <font>
      <b/>
      <sz val="16"/>
      <name val="Calibri"/>
      <family val="2"/>
      <scheme val="minor"/>
    </font>
    <font>
      <b/>
      <u/>
      <sz val="16"/>
      <color rgb="FFFF0000"/>
      <name val="Calibri"/>
      <family val="2"/>
      <scheme val="minor"/>
    </font>
    <font>
      <sz val="10"/>
      <color theme="1"/>
      <name val="Calibri"/>
      <family val="2"/>
      <scheme val="minor"/>
    </font>
    <font>
      <sz val="10"/>
      <color rgb="FF000000"/>
      <name val="Calibri"/>
      <family val="2"/>
      <scheme val="minor"/>
    </font>
    <font>
      <b/>
      <sz val="10"/>
      <color theme="1"/>
      <name val="Calibri"/>
      <family val="2"/>
      <scheme val="minor"/>
    </font>
    <font>
      <b/>
      <sz val="10"/>
      <color theme="0"/>
      <name val="Calibri"/>
      <family val="2"/>
      <scheme val="minor"/>
    </font>
    <font>
      <b/>
      <sz val="10"/>
      <color theme="8" tint="-0.249977111117893"/>
      <name val="Calibri"/>
      <family val="2"/>
      <scheme val="minor"/>
    </font>
    <font>
      <b/>
      <sz val="10"/>
      <color theme="8" tint="-0.499984740745262"/>
      <name val="Calibri"/>
      <family val="2"/>
      <scheme val="minor"/>
    </font>
    <font>
      <sz val="10"/>
      <color theme="0"/>
      <name val="Calibri"/>
      <family val="2"/>
      <scheme val="minor"/>
    </font>
    <font>
      <b/>
      <u/>
      <sz val="10"/>
      <color theme="10"/>
      <name val="Calibri"/>
      <family val="2"/>
      <scheme val="minor"/>
    </font>
    <font>
      <sz val="11"/>
      <color theme="0" tint="-0.34998626667073579"/>
      <name val="Calibri"/>
      <family val="2"/>
      <scheme val="minor"/>
    </font>
    <font>
      <b/>
      <i/>
      <sz val="10"/>
      <color rgb="FFFF0000"/>
      <name val="Calibri"/>
      <family val="2"/>
      <scheme val="minor"/>
    </font>
    <font>
      <i/>
      <sz val="10"/>
      <color theme="1"/>
      <name val="Calibri"/>
      <family val="2"/>
      <scheme val="minor"/>
    </font>
    <font>
      <sz val="8"/>
      <name val="Arial"/>
      <family val="2"/>
    </font>
    <font>
      <sz val="11"/>
      <color theme="0" tint="-0.14999847407452621"/>
      <name val="Calibri"/>
      <family val="2"/>
      <scheme val="minor"/>
    </font>
    <font>
      <sz val="10"/>
      <color theme="0" tint="-0.14999847407452621"/>
      <name val="Calibri"/>
      <family val="2"/>
      <scheme val="minor"/>
    </font>
    <font>
      <b/>
      <sz val="10"/>
      <color theme="0" tint="-0.14999847407452621"/>
      <name val="Calibri"/>
      <family val="2"/>
      <scheme val="minor"/>
    </font>
    <font>
      <b/>
      <sz val="11"/>
      <color theme="0" tint="-0.249977111117893"/>
      <name val="Calibri"/>
      <family val="2"/>
      <scheme val="minor"/>
    </font>
    <font>
      <b/>
      <sz val="10"/>
      <color theme="0" tint="-0.249977111117893"/>
      <name val="Calibri"/>
      <family val="2"/>
      <scheme val="minor"/>
    </font>
    <font>
      <sz val="10"/>
      <color rgb="FF000000"/>
      <name val="Times New Roman"/>
      <family val="1"/>
    </font>
    <font>
      <b/>
      <sz val="20"/>
      <color theme="1"/>
      <name val="Calibri"/>
      <family val="3"/>
      <charset val="134"/>
      <scheme val="minor"/>
    </font>
    <font>
      <b/>
      <sz val="12"/>
      <color theme="1"/>
      <name val="Calibri"/>
      <family val="3"/>
      <charset val="134"/>
      <scheme val="minor"/>
    </font>
    <font>
      <sz val="12"/>
      <color theme="1"/>
      <name val="Calibri"/>
      <family val="3"/>
      <charset val="134"/>
      <scheme val="minor"/>
    </font>
    <font>
      <b/>
      <sz val="11"/>
      <color theme="0" tint="-0.34998626667073579"/>
      <name val="Calibri"/>
      <family val="2"/>
      <scheme val="minor"/>
    </font>
    <font>
      <sz val="10"/>
      <color theme="0" tint="-0.249977111117893"/>
      <name val="Calibri"/>
      <family val="2"/>
      <scheme val="minor"/>
    </font>
    <font>
      <b/>
      <i/>
      <sz val="14"/>
      <color theme="0"/>
      <name val="Calibri"/>
      <family val="2"/>
      <scheme val="minor"/>
    </font>
    <font>
      <sz val="14"/>
      <color theme="0"/>
      <name val="Calibri"/>
      <family val="2"/>
      <scheme val="minor"/>
    </font>
    <font>
      <sz val="14"/>
      <color theme="1"/>
      <name val="Calibri"/>
      <family val="2"/>
      <scheme val="minor"/>
    </font>
    <font>
      <b/>
      <sz val="11"/>
      <color theme="0" tint="-0.14999847407452621"/>
      <name val="Calibri"/>
      <family val="2"/>
      <scheme val="minor"/>
    </font>
    <font>
      <b/>
      <u/>
      <sz val="12"/>
      <color theme="0"/>
      <name val="Calibri"/>
      <family val="2"/>
      <scheme val="minor"/>
    </font>
    <font>
      <sz val="12"/>
      <color rgb="FF7030A0"/>
      <name val="Calibri"/>
      <family val="3"/>
      <charset val="134"/>
      <scheme val="minor"/>
    </font>
    <font>
      <sz val="12"/>
      <name val="Calibri"/>
      <family val="3"/>
      <charset val="134"/>
      <scheme val="minor"/>
    </font>
    <font>
      <sz val="12"/>
      <color rgb="FF000000"/>
      <name val="Calibri"/>
      <family val="3"/>
      <charset val="134"/>
      <scheme val="minor"/>
    </font>
    <font>
      <sz val="12"/>
      <name val="宋体"/>
      <family val="3"/>
      <charset val="134"/>
    </font>
    <font>
      <b/>
      <sz val="11"/>
      <color rgb="FF000000"/>
      <name val="Calibri"/>
      <family val="2"/>
      <scheme val="minor"/>
    </font>
    <font>
      <sz val="11"/>
      <color rgb="FF000000"/>
      <name val="Calibri"/>
      <family val="2"/>
      <scheme val="minor"/>
    </font>
    <font>
      <sz val="11"/>
      <color theme="0" tint="-0.249977111117893"/>
      <name val="Calibri"/>
      <family val="2"/>
      <scheme val="minor"/>
    </font>
    <font>
      <b/>
      <sz val="14"/>
      <color theme="8" tint="-0.249977111117893"/>
      <name val="Calibri"/>
      <family val="2"/>
      <scheme val="minor"/>
    </font>
    <font>
      <b/>
      <sz val="14"/>
      <color theme="8" tint="-0.499984740745262"/>
      <name val="Calibri"/>
      <family val="2"/>
      <scheme val="minor"/>
    </font>
    <font>
      <sz val="9"/>
      <color theme="0" tint="-0.14999847407452621"/>
      <name val="Calibri"/>
      <family val="2"/>
      <scheme val="minor"/>
    </font>
    <font>
      <b/>
      <sz val="14"/>
      <color theme="1"/>
      <name val="Calibri"/>
      <family val="2"/>
      <scheme val="minor"/>
    </font>
    <font>
      <b/>
      <sz val="10"/>
      <color rgb="FF002060"/>
      <name val="Calibri"/>
      <family val="2"/>
      <scheme val="minor"/>
    </font>
    <font>
      <sz val="11"/>
      <color rgb="FF000000"/>
      <name val="Calibri"/>
      <family val="2"/>
    </font>
    <font>
      <sz val="11"/>
      <color rgb="FF000000"/>
      <name val="Playfair"/>
    </font>
    <font>
      <b/>
      <sz val="24"/>
      <color theme="0"/>
      <name val="Calibri"/>
      <family val="2"/>
      <scheme val="minor"/>
    </font>
    <font>
      <sz val="18"/>
      <color rgb="FF000000"/>
      <name val="Playfair"/>
    </font>
    <font>
      <b/>
      <sz val="18"/>
      <color theme="0"/>
      <name val="Calibri"/>
      <family val="2"/>
      <scheme val="minor"/>
    </font>
    <font>
      <b/>
      <i/>
      <sz val="12"/>
      <name val="Calibri"/>
      <family val="2"/>
      <scheme val="minor"/>
    </font>
    <font>
      <b/>
      <i/>
      <u/>
      <sz val="12"/>
      <name val="Calibri"/>
      <family val="2"/>
      <scheme val="minor"/>
    </font>
    <font>
      <i/>
      <sz val="11"/>
      <color theme="0" tint="-0.14999847407452621"/>
      <name val="Calibri"/>
      <family val="2"/>
      <scheme val="minor"/>
    </font>
    <font>
      <b/>
      <sz val="14"/>
      <color theme="0" tint="-0.14999847407452621"/>
      <name val="Calibri"/>
      <family val="2"/>
      <scheme val="minor"/>
    </font>
    <font>
      <sz val="11"/>
      <color rgb="FF333333"/>
      <name val="Arial"/>
      <family val="2"/>
    </font>
    <font>
      <b/>
      <i/>
      <sz val="11"/>
      <color theme="0"/>
      <name val="Calibri"/>
      <family val="2"/>
      <scheme val="minor"/>
    </font>
    <font>
      <b/>
      <u/>
      <sz val="11"/>
      <color theme="10"/>
      <name val="Calibri"/>
      <family val="2"/>
      <scheme val="minor"/>
    </font>
  </fonts>
  <fills count="1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indexed="2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indexed="9"/>
        <bgColor indexed="64"/>
      </patternFill>
    </fill>
    <fill>
      <patternFill patternType="solid">
        <fgColor rgb="FF002060"/>
        <bgColor indexed="64"/>
      </patternFill>
    </fill>
    <fill>
      <patternFill patternType="solid">
        <fgColor theme="4" tint="0.79998168889431442"/>
        <bgColor indexed="64"/>
      </patternFill>
    </fill>
    <fill>
      <patternFill patternType="solid">
        <fgColor theme="8" tint="0.79998168889431442"/>
        <bgColor indexed="65"/>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auto="1"/>
      </right>
      <top/>
      <bottom/>
      <diagonal/>
    </border>
    <border>
      <left style="thin">
        <color indexed="64"/>
      </left>
      <right style="thin">
        <color indexed="64"/>
      </right>
      <top style="thin">
        <color indexed="64"/>
      </top>
      <bottom/>
      <diagonal/>
    </border>
    <border>
      <left style="thin">
        <color indexed="64"/>
      </left>
      <right style="thin">
        <color auto="1"/>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theme="0"/>
      </top>
      <bottom style="thin">
        <color indexed="64"/>
      </bottom>
      <diagonal/>
    </border>
    <border>
      <left/>
      <right style="thin">
        <color auto="1"/>
      </right>
      <top style="thin">
        <color theme="0"/>
      </top>
      <bottom style="thin">
        <color theme="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style="thin">
        <color auto="1"/>
      </top>
      <bottom style="thin">
        <color theme="0"/>
      </bottom>
      <diagonal/>
    </border>
    <border>
      <left/>
      <right/>
      <top style="thin">
        <color theme="0"/>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medium">
        <color indexed="64"/>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top style="thin">
        <color theme="0"/>
      </top>
      <bottom style="thin">
        <color indexed="64"/>
      </bottom>
      <diagonal/>
    </border>
    <border>
      <left style="thin">
        <color indexed="64"/>
      </left>
      <right/>
      <top style="thin">
        <color theme="0"/>
      </top>
      <bottom/>
      <diagonal/>
    </border>
    <border>
      <left/>
      <right style="thin">
        <color indexed="64"/>
      </right>
      <top style="thin">
        <color theme="0"/>
      </top>
      <bottom/>
      <diagonal/>
    </border>
    <border>
      <left style="thin">
        <color indexed="64"/>
      </left>
      <right/>
      <top style="thin">
        <color theme="0"/>
      </top>
      <bottom style="thin">
        <color indexed="64"/>
      </bottom>
      <diagonal/>
    </border>
    <border>
      <left style="thin">
        <color indexed="64"/>
      </left>
      <right style="thin">
        <color indexed="64"/>
      </right>
      <top style="thin">
        <color theme="0"/>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top/>
      <bottom style="thin">
        <color theme="0" tint="-0.14999847407452621"/>
      </bottom>
      <diagonal/>
    </border>
    <border>
      <left/>
      <right style="thin">
        <color theme="0" tint="-0.14999847407452621"/>
      </right>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top/>
      <bottom style="thin">
        <color theme="0"/>
      </bottom>
      <diagonal/>
    </border>
    <border>
      <left/>
      <right/>
      <top/>
      <bottom style="thin">
        <color theme="0"/>
      </bottom>
      <diagonal/>
    </border>
    <border>
      <left/>
      <right style="thin">
        <color indexed="64"/>
      </right>
      <top/>
      <bottom style="thin">
        <color theme="0"/>
      </bottom>
      <diagonal/>
    </border>
    <border>
      <left/>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indexed="64"/>
      </bottom>
      <diagonal/>
    </border>
    <border>
      <left style="medium">
        <color theme="0" tint="-0.34998626667073579"/>
      </left>
      <right style="thin">
        <color theme="0" tint="-0.34998626667073579"/>
      </right>
      <top style="thin">
        <color indexed="64"/>
      </top>
      <bottom style="thin">
        <color theme="0" tint="-0.34998626667073579"/>
      </bottom>
      <diagonal/>
    </border>
    <border>
      <left/>
      <right style="thin">
        <color indexed="64"/>
      </right>
      <top style="medium">
        <color indexed="64"/>
      </top>
      <bottom/>
      <diagonal/>
    </border>
    <border>
      <left/>
      <right style="thin">
        <color indexed="64"/>
      </right>
      <top/>
      <bottom style="medium">
        <color indexed="64"/>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s>
  <cellStyleXfs count="18">
    <xf numFmtId="0" fontId="0" fillId="0" borderId="0"/>
    <xf numFmtId="9" fontId="5" fillId="0" borderId="0" applyFont="0" applyFill="0" applyBorder="0" applyAlignment="0" applyProtection="0"/>
    <xf numFmtId="0" fontId="8" fillId="0" borderId="0" applyNumberFormat="0" applyFill="0" applyBorder="0" applyAlignment="0" applyProtection="0"/>
    <xf numFmtId="165" fontId="5" fillId="0" borderId="0" applyFont="0" applyFill="0" applyBorder="0" applyAlignment="0" applyProtection="0"/>
    <xf numFmtId="0" fontId="11" fillId="0" borderId="0"/>
    <xf numFmtId="0" fontId="21" fillId="0" borderId="0"/>
    <xf numFmtId="164" fontId="21" fillId="0" borderId="0" applyFont="0" applyFill="0" applyBorder="0" applyAlignment="0" applyProtection="0"/>
    <xf numFmtId="0" fontId="22" fillId="0" borderId="0"/>
    <xf numFmtId="164" fontId="5" fillId="0" borderId="0" applyFont="0" applyFill="0" applyBorder="0" applyAlignment="0" applyProtection="0"/>
    <xf numFmtId="9" fontId="21" fillId="0" borderId="0" applyFont="0" applyFill="0" applyBorder="0" applyAlignment="0" applyProtection="0"/>
    <xf numFmtId="9" fontId="52" fillId="0" borderId="0" applyFont="0" applyFill="0" applyBorder="0" applyAlignment="0" applyProtection="0"/>
    <xf numFmtId="165" fontId="11" fillId="0" borderId="0" applyFont="0" applyFill="0" applyBorder="0" applyAlignment="0" applyProtection="0"/>
    <xf numFmtId="0" fontId="58" fillId="0" borderId="0"/>
    <xf numFmtId="0" fontId="5" fillId="0" borderId="0"/>
    <xf numFmtId="0" fontId="72" fillId="0" borderId="0"/>
    <xf numFmtId="0" fontId="5" fillId="15" borderId="0" applyNumberFormat="0" applyBorder="0" applyAlignment="0" applyProtection="0"/>
    <xf numFmtId="0" fontId="81" fillId="0" borderId="0"/>
    <xf numFmtId="0" fontId="5" fillId="0" borderId="0"/>
  </cellStyleXfs>
  <cellXfs count="1180">
    <xf numFmtId="0" fontId="0" fillId="0" borderId="0" xfId="0"/>
    <xf numFmtId="0" fontId="2" fillId="0" borderId="0" xfId="0" applyFont="1"/>
    <xf numFmtId="0" fontId="0" fillId="0" borderId="0" xfId="0" applyFont="1" applyBorder="1"/>
    <xf numFmtId="0" fontId="0" fillId="0" borderId="0" xfId="0" applyFont="1"/>
    <xf numFmtId="0" fontId="1" fillId="0" borderId="0" xfId="0" applyFont="1"/>
    <xf numFmtId="0" fontId="0" fillId="0" borderId="0" xfId="0" applyFont="1" applyFill="1" applyBorder="1"/>
    <xf numFmtId="0" fontId="1" fillId="0" borderId="8" xfId="0" applyFont="1" applyBorder="1"/>
    <xf numFmtId="0" fontId="1" fillId="0" borderId="9" xfId="0" applyFont="1" applyBorder="1" applyAlignment="1">
      <alignment wrapText="1"/>
    </xf>
    <xf numFmtId="0" fontId="1" fillId="0" borderId="9" xfId="0" applyFont="1" applyBorder="1"/>
    <xf numFmtId="0" fontId="1" fillId="0" borderId="10" xfId="0" applyFont="1" applyBorder="1"/>
    <xf numFmtId="0" fontId="1" fillId="0" borderId="5" xfId="0" applyFont="1" applyBorder="1" applyAlignment="1">
      <alignment horizontal="center" vertical="center" wrapText="1"/>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19" xfId="0" applyFont="1" applyBorder="1"/>
    <xf numFmtId="0" fontId="1" fillId="0" borderId="20" xfId="0" applyFont="1" applyBorder="1"/>
    <xf numFmtId="0" fontId="1" fillId="0" borderId="21" xfId="0" applyFont="1" applyBorder="1"/>
    <xf numFmtId="0" fontId="12" fillId="0" borderId="0" xfId="0" applyFont="1"/>
    <xf numFmtId="0" fontId="1" fillId="0" borderId="22" xfId="0" applyFont="1" applyBorder="1"/>
    <xf numFmtId="0" fontId="1" fillId="0" borderId="2" xfId="0" applyFont="1" applyBorder="1"/>
    <xf numFmtId="0" fontId="12" fillId="5" borderId="4" xfId="0" applyFont="1" applyFill="1" applyBorder="1" applyAlignment="1" applyProtection="1">
      <alignment horizontal="center"/>
      <protection locked="0"/>
    </xf>
    <xf numFmtId="0" fontId="1" fillId="0" borderId="23" xfId="0" applyFont="1" applyBorder="1"/>
    <xf numFmtId="0" fontId="16" fillId="0" borderId="0" xfId="0" quotePrefix="1" applyFont="1"/>
    <xf numFmtId="0" fontId="16" fillId="0" borderId="0" xfId="0" applyFont="1"/>
    <xf numFmtId="0" fontId="12" fillId="0" borderId="0" xfId="0" applyFont="1" applyAlignment="1">
      <alignment horizontal="center"/>
    </xf>
    <xf numFmtId="0" fontId="1" fillId="0" borderId="8" xfId="0" applyFont="1" applyBorder="1" applyAlignment="1">
      <alignment horizontal="left"/>
    </xf>
    <xf numFmtId="0" fontId="1" fillId="0" borderId="10" xfId="0" applyFont="1" applyBorder="1" applyAlignment="1">
      <alignment horizontal="left"/>
    </xf>
    <xf numFmtId="0" fontId="1" fillId="0" borderId="0" xfId="0" applyFont="1" applyAlignment="1">
      <alignment horizontal="left" indent="2"/>
    </xf>
    <xf numFmtId="169" fontId="12" fillId="0" borderId="0" xfId="1" applyNumberFormat="1" applyFont="1" applyFill="1" applyBorder="1" applyAlignment="1">
      <alignment horizontal="right"/>
    </xf>
    <xf numFmtId="0" fontId="6" fillId="0" borderId="22" xfId="0" applyFont="1" applyBorder="1"/>
    <xf numFmtId="0" fontId="1" fillId="0" borderId="10" xfId="0" applyFont="1" applyBorder="1" applyAlignment="1">
      <alignment horizontal="right" indent="3"/>
    </xf>
    <xf numFmtId="0" fontId="12" fillId="5" borderId="15" xfId="0" applyFont="1" applyFill="1" applyBorder="1" applyAlignment="1" applyProtection="1">
      <alignment horizontal="center"/>
      <protection locked="0"/>
    </xf>
    <xf numFmtId="0" fontId="10" fillId="0" borderId="0" xfId="0" applyFont="1" applyAlignment="1">
      <alignment horizontal="left" indent="1"/>
    </xf>
    <xf numFmtId="169" fontId="12" fillId="5" borderId="4" xfId="1" applyNumberFormat="1" applyFont="1" applyFill="1" applyBorder="1" applyProtection="1">
      <protection locked="0"/>
    </xf>
    <xf numFmtId="0" fontId="1" fillId="0" borderId="28" xfId="0" applyFont="1" applyBorder="1"/>
    <xf numFmtId="0" fontId="1" fillId="0" borderId="29" xfId="0" applyFont="1" applyBorder="1"/>
    <xf numFmtId="0" fontId="12" fillId="0" borderId="29" xfId="0" applyFont="1" applyBorder="1"/>
    <xf numFmtId="0" fontId="1" fillId="0" borderId="30" xfId="0" applyFont="1" applyBorder="1"/>
    <xf numFmtId="0" fontId="12" fillId="0" borderId="20" xfId="0" applyFont="1" applyBorder="1"/>
    <xf numFmtId="0" fontId="1" fillId="0" borderId="9" xfId="0" applyFont="1" applyBorder="1" applyAlignment="1">
      <alignment horizontal="left" indent="2"/>
    </xf>
    <xf numFmtId="0" fontId="1" fillId="0" borderId="10" xfId="0" applyFont="1" applyBorder="1" applyAlignment="1">
      <alignment horizontal="left" indent="2"/>
    </xf>
    <xf numFmtId="0" fontId="10" fillId="0" borderId="0" xfId="0" applyFont="1" applyAlignment="1">
      <alignment vertical="center" wrapText="1"/>
    </xf>
    <xf numFmtId="166" fontId="12" fillId="5" borderId="4" xfId="3" applyNumberFormat="1" applyFont="1" applyFill="1" applyBorder="1" applyAlignment="1" applyProtection="1">
      <alignment horizontal="right"/>
      <protection locked="0"/>
    </xf>
    <xf numFmtId="0" fontId="17" fillId="0" borderId="32" xfId="0" applyFont="1" applyBorder="1"/>
    <xf numFmtId="0" fontId="17" fillId="0" borderId="32" xfId="0" applyFont="1" applyBorder="1" applyAlignment="1">
      <alignment horizontal="center"/>
    </xf>
    <xf numFmtId="0" fontId="12" fillId="5" borderId="34" xfId="0" applyFont="1" applyFill="1" applyBorder="1" applyProtection="1">
      <protection locked="0"/>
    </xf>
    <xf numFmtId="0" fontId="12" fillId="5" borderId="35" xfId="0" applyFont="1" applyFill="1" applyBorder="1" applyProtection="1">
      <protection locked="0"/>
    </xf>
    <xf numFmtId="0" fontId="0" fillId="0" borderId="22" xfId="0" applyBorder="1"/>
    <xf numFmtId="0" fontId="0" fillId="0" borderId="23" xfId="0" applyBorder="1"/>
    <xf numFmtId="0" fontId="6" fillId="0" borderId="0" xfId="0" applyFont="1"/>
    <xf numFmtId="0" fontId="10" fillId="0" borderId="22" xfId="0" applyFont="1" applyBorder="1"/>
    <xf numFmtId="0" fontId="13" fillId="6" borderId="0" xfId="0" applyFont="1" applyFill="1" applyAlignment="1">
      <alignment horizontal="left" vertical="center"/>
    </xf>
    <xf numFmtId="0" fontId="6" fillId="6" borderId="0" xfId="0" applyFont="1" applyFill="1"/>
    <xf numFmtId="0" fontId="14" fillId="6" borderId="0" xfId="0" applyFont="1" applyFill="1"/>
    <xf numFmtId="0" fontId="15" fillId="6" borderId="0" xfId="0" applyFont="1" applyFill="1"/>
    <xf numFmtId="0" fontId="7" fillId="0" borderId="0" xfId="0" applyFont="1"/>
    <xf numFmtId="0" fontId="1" fillId="0" borderId="0" xfId="0" applyFont="1" applyAlignment="1">
      <alignment vertical="center"/>
    </xf>
    <xf numFmtId="0" fontId="16" fillId="0" borderId="0" xfId="0" applyFont="1" applyAlignment="1">
      <alignment horizontal="left"/>
    </xf>
    <xf numFmtId="0" fontId="1" fillId="0" borderId="18" xfId="0" applyFont="1" applyBorder="1"/>
    <xf numFmtId="0" fontId="18" fillId="0" borderId="6" xfId="0" applyFont="1" applyBorder="1"/>
    <xf numFmtId="0" fontId="19" fillId="0" borderId="6" xfId="0" applyFont="1" applyBorder="1" applyAlignment="1">
      <alignment horizontal="center" vertical="center" wrapText="1"/>
    </xf>
    <xf numFmtId="0" fontId="18" fillId="0" borderId="0" xfId="0" applyFont="1"/>
    <xf numFmtId="168" fontId="18" fillId="0" borderId="37" xfId="0" applyNumberFormat="1" applyFont="1" applyBorder="1"/>
    <xf numFmtId="168" fontId="18" fillId="0" borderId="39" xfId="0" applyNumberFormat="1" applyFont="1" applyBorder="1"/>
    <xf numFmtId="168" fontId="18" fillId="0" borderId="41" xfId="0" applyNumberFormat="1" applyFont="1" applyBorder="1"/>
    <xf numFmtId="0" fontId="1" fillId="0" borderId="0" xfId="0" applyFont="1" applyAlignment="1">
      <alignment horizontal="center" vertical="center" wrapText="1"/>
    </xf>
    <xf numFmtId="0" fontId="1" fillId="0" borderId="0" xfId="0" applyFont="1" applyAlignment="1">
      <alignment horizontal="center" vertical="center"/>
    </xf>
    <xf numFmtId="0" fontId="1" fillId="0" borderId="2" xfId="0" applyFont="1" applyBorder="1" applyAlignment="1">
      <alignment horizontal="left"/>
    </xf>
    <xf numFmtId="169" fontId="12" fillId="5" borderId="4" xfId="1" applyNumberFormat="1" applyFont="1" applyFill="1" applyBorder="1" applyAlignment="1" applyProtection="1">
      <alignment horizontal="right"/>
      <protection locked="0"/>
    </xf>
    <xf numFmtId="168" fontId="0" fillId="0" borderId="11" xfId="3" applyNumberFormat="1" applyFont="1" applyFill="1" applyBorder="1"/>
    <xf numFmtId="168" fontId="0" fillId="0" borderId="12" xfId="3" applyNumberFormat="1" applyFont="1" applyFill="1" applyBorder="1"/>
    <xf numFmtId="168" fontId="0" fillId="0" borderId="0" xfId="3" applyNumberFormat="1" applyFont="1" applyFill="1" applyBorder="1"/>
    <xf numFmtId="168" fontId="3" fillId="0" borderId="0" xfId="3" applyNumberFormat="1" applyFont="1" applyFill="1" applyBorder="1"/>
    <xf numFmtId="168" fontId="3" fillId="0" borderId="13" xfId="3" applyNumberFormat="1" applyFont="1" applyFill="1" applyBorder="1"/>
    <xf numFmtId="169" fontId="6" fillId="0" borderId="31" xfId="1" applyNumberFormat="1" applyFont="1" applyFill="1" applyBorder="1" applyAlignment="1" applyProtection="1">
      <alignment horizontal="right"/>
      <protection locked="0"/>
    </xf>
    <xf numFmtId="169" fontId="12" fillId="5" borderId="27" xfId="1" applyNumberFormat="1" applyFont="1" applyFill="1" applyBorder="1" applyAlignment="1" applyProtection="1">
      <alignment horizontal="right"/>
      <protection locked="0"/>
    </xf>
    <xf numFmtId="169" fontId="5" fillId="0" borderId="0" xfId="1" applyNumberFormat="1" applyFont="1" applyFill="1" applyBorder="1"/>
    <xf numFmtId="169" fontId="5" fillId="0" borderId="13" xfId="1" applyNumberFormat="1" applyFont="1" applyFill="1" applyBorder="1"/>
    <xf numFmtId="9" fontId="5" fillId="0" borderId="0" xfId="1" applyFont="1" applyFill="1" applyBorder="1"/>
    <xf numFmtId="9" fontId="0" fillId="0" borderId="0" xfId="1" applyFont="1" applyFill="1" applyBorder="1"/>
    <xf numFmtId="169" fontId="12" fillId="5" borderId="15" xfId="1" applyNumberFormat="1" applyFont="1" applyFill="1" applyBorder="1" applyAlignment="1">
      <alignment horizontal="right"/>
    </xf>
    <xf numFmtId="168" fontId="0" fillId="0" borderId="0" xfId="3" applyNumberFormat="1" applyFont="1" applyBorder="1"/>
    <xf numFmtId="168" fontId="0" fillId="0" borderId="13" xfId="3" applyNumberFormat="1" applyFont="1" applyBorder="1"/>
    <xf numFmtId="0" fontId="1" fillId="0" borderId="17" xfId="0" applyFont="1" applyBorder="1"/>
    <xf numFmtId="168" fontId="0" fillId="0" borderId="11" xfId="3" applyNumberFormat="1" applyFont="1" applyBorder="1"/>
    <xf numFmtId="168" fontId="0" fillId="0" borderId="12" xfId="3" applyNumberFormat="1" applyFont="1" applyBorder="1"/>
    <xf numFmtId="0" fontId="1" fillId="0" borderId="16" xfId="0" applyFont="1" applyBorder="1"/>
    <xf numFmtId="168" fontId="0" fillId="0" borderId="14" xfId="3" applyNumberFormat="1" applyFont="1" applyBorder="1"/>
    <xf numFmtId="168" fontId="0" fillId="0" borderId="15" xfId="3" applyNumberFormat="1" applyFont="1" applyBorder="1"/>
    <xf numFmtId="0" fontId="12" fillId="0" borderId="19" xfId="0" applyFont="1" applyBorder="1"/>
    <xf numFmtId="0" fontId="3" fillId="0" borderId="21" xfId="0" applyFont="1" applyBorder="1"/>
    <xf numFmtId="0" fontId="3" fillId="0" borderId="0" xfId="0" applyFont="1"/>
    <xf numFmtId="168" fontId="0" fillId="0" borderId="23" xfId="3" applyNumberFormat="1" applyFont="1" applyFill="1" applyBorder="1"/>
    <xf numFmtId="168" fontId="0" fillId="0" borderId="0" xfId="3" applyNumberFormat="1" applyFont="1" applyFill="1"/>
    <xf numFmtId="168" fontId="5" fillId="0" borderId="0" xfId="3" applyNumberFormat="1" applyFont="1" applyFill="1"/>
    <xf numFmtId="168" fontId="20" fillId="0" borderId="0" xfId="3" applyNumberFormat="1" applyFont="1" applyFill="1"/>
    <xf numFmtId="168" fontId="5" fillId="0" borderId="0" xfId="3" applyNumberFormat="1" applyFont="1" applyFill="1" applyAlignment="1">
      <alignment horizontal="center"/>
    </xf>
    <xf numFmtId="168" fontId="20" fillId="0" borderId="0" xfId="3" applyNumberFormat="1" applyFont="1" applyFill="1" applyAlignment="1">
      <alignment horizontal="center"/>
    </xf>
    <xf numFmtId="169" fontId="0" fillId="0" borderId="0" xfId="0" applyNumberFormat="1" applyAlignment="1">
      <alignment horizontal="center"/>
    </xf>
    <xf numFmtId="0" fontId="1" fillId="0" borderId="0" xfId="0" applyFont="1" applyAlignment="1">
      <alignment horizontal="center"/>
    </xf>
    <xf numFmtId="169" fontId="0" fillId="0" borderId="23" xfId="1" applyNumberFormat="1" applyFont="1" applyFill="1" applyBorder="1"/>
    <xf numFmtId="169" fontId="0" fillId="0" borderId="0" xfId="1" applyNumberFormat="1" applyFont="1" applyFill="1"/>
    <xf numFmtId="169" fontId="5" fillId="0" borderId="0" xfId="1" applyNumberFormat="1" applyFont="1" applyFill="1"/>
    <xf numFmtId="9" fontId="1" fillId="0" borderId="0" xfId="1" applyFont="1" applyFill="1"/>
    <xf numFmtId="169" fontId="0" fillId="0" borderId="30" xfId="1" applyNumberFormat="1" applyFont="1" applyFill="1" applyBorder="1"/>
    <xf numFmtId="0" fontId="6" fillId="6" borderId="0" xfId="0" applyFont="1" applyFill="1" applyAlignment="1">
      <alignment horizontal="left" vertical="center"/>
    </xf>
    <xf numFmtId="0" fontId="12" fillId="0" borderId="0" xfId="0" applyFont="1" applyAlignment="1">
      <alignment vertical="center"/>
    </xf>
    <xf numFmtId="0" fontId="12" fillId="0" borderId="36" xfId="0" applyFont="1" applyBorder="1" applyProtection="1">
      <protection locked="0"/>
    </xf>
    <xf numFmtId="0" fontId="12" fillId="0" borderId="38" xfId="0" applyFont="1" applyBorder="1" applyProtection="1">
      <protection locked="0"/>
    </xf>
    <xf numFmtId="0" fontId="12" fillId="0" borderId="40" xfId="0" applyFont="1" applyBorder="1" applyProtection="1">
      <protection locked="0"/>
    </xf>
    <xf numFmtId="0" fontId="25" fillId="0" borderId="0" xfId="7" applyFont="1"/>
    <xf numFmtId="0" fontId="26" fillId="3" borderId="0" xfId="7" applyFont="1" applyFill="1" applyAlignment="1">
      <alignment horizontal="center" vertical="center" wrapText="1"/>
    </xf>
    <xf numFmtId="0" fontId="26" fillId="0" borderId="0" xfId="7" applyFont="1" applyAlignment="1">
      <alignment horizontal="center" vertical="center" wrapText="1"/>
    </xf>
    <xf numFmtId="0" fontId="28" fillId="0" borderId="0" xfId="7" applyFont="1" applyAlignment="1">
      <alignment horizontal="center" vertical="top" wrapText="1"/>
    </xf>
    <xf numFmtId="0" fontId="30" fillId="4" borderId="1" xfId="7" applyFont="1" applyFill="1" applyBorder="1" applyAlignment="1">
      <alignment horizontal="center" vertical="center" wrapText="1"/>
    </xf>
    <xf numFmtId="0" fontId="30" fillId="0" borderId="0" xfId="7" applyFont="1" applyAlignment="1">
      <alignment horizontal="center" vertical="center" wrapText="1"/>
    </xf>
    <xf numFmtId="0" fontId="30" fillId="0" borderId="0" xfId="7" applyFont="1" applyAlignment="1">
      <alignment horizontal="left" vertical="center" wrapText="1"/>
    </xf>
    <xf numFmtId="0" fontId="25" fillId="0" borderId="0" xfId="7" applyFont="1" applyAlignment="1">
      <alignment vertical="top"/>
    </xf>
    <xf numFmtId="15" fontId="31" fillId="10" borderId="24" xfId="7" applyNumberFormat="1" applyFont="1" applyFill="1" applyBorder="1" applyAlignment="1">
      <alignment horizontal="center" vertical="center"/>
    </xf>
    <xf numFmtId="0" fontId="32" fillId="0" borderId="0" xfId="7" applyFont="1" applyAlignment="1">
      <alignment horizontal="center" vertical="top" wrapText="1"/>
    </xf>
    <xf numFmtId="0" fontId="30" fillId="0" borderId="20" xfId="7" applyFont="1" applyBorder="1" applyAlignment="1">
      <alignment horizontal="center" vertical="center" wrapText="1"/>
    </xf>
    <xf numFmtId="0" fontId="9" fillId="0" borderId="20" xfId="7" applyFont="1" applyBorder="1" applyAlignment="1">
      <alignment horizontal="center" vertical="center"/>
    </xf>
    <xf numFmtId="15" fontId="31" fillId="0" borderId="20" xfId="7" applyNumberFormat="1" applyFont="1" applyBorder="1" applyAlignment="1">
      <alignment horizontal="center" vertical="center"/>
    </xf>
    <xf numFmtId="0" fontId="3" fillId="0" borderId="0" xfId="7" applyFont="1" applyAlignment="1">
      <alignment horizontal="center" vertical="top" wrapText="1"/>
    </xf>
    <xf numFmtId="0" fontId="33" fillId="0" borderId="29" xfId="7" applyFont="1" applyBorder="1" applyAlignment="1">
      <alignment horizontal="left" vertical="center"/>
    </xf>
    <xf numFmtId="0" fontId="35" fillId="0" borderId="0" xfId="7" applyFont="1" applyAlignment="1">
      <alignment vertical="top"/>
    </xf>
    <xf numFmtId="0" fontId="35" fillId="0" borderId="62" xfId="7" applyFont="1" applyBorder="1" applyAlignment="1">
      <alignment vertical="top" wrapText="1"/>
    </xf>
    <xf numFmtId="0" fontId="9" fillId="0" borderId="55" xfId="7" applyFont="1" applyBorder="1" applyAlignment="1">
      <alignment horizontal="center" vertical="center"/>
    </xf>
    <xf numFmtId="3" fontId="30" fillId="0" borderId="53" xfId="7" applyNumberFormat="1" applyFont="1" applyBorder="1" applyAlignment="1">
      <alignment horizontal="center" vertical="center"/>
    </xf>
    <xf numFmtId="3" fontId="25" fillId="0" borderId="54" xfId="7" applyNumberFormat="1" applyFont="1" applyBorder="1" applyAlignment="1">
      <alignment horizontal="center" vertical="center"/>
    </xf>
    <xf numFmtId="3" fontId="25" fillId="0" borderId="65" xfId="7" applyNumberFormat="1" applyFont="1" applyBorder="1" applyAlignment="1">
      <alignment horizontal="center" vertical="center"/>
    </xf>
    <xf numFmtId="3" fontId="25" fillId="0" borderId="55" xfId="7" applyNumberFormat="1" applyFont="1" applyBorder="1" applyAlignment="1">
      <alignment horizontal="center" vertical="center"/>
    </xf>
    <xf numFmtId="0" fontId="35" fillId="0" borderId="63" xfId="7" applyFont="1" applyBorder="1" applyAlignment="1">
      <alignment vertical="top" wrapText="1"/>
    </xf>
    <xf numFmtId="0" fontId="9" fillId="0" borderId="57" xfId="7" applyFont="1" applyBorder="1" applyAlignment="1">
      <alignment horizontal="center" vertical="center"/>
    </xf>
    <xf numFmtId="3" fontId="30" fillId="0" borderId="39" xfId="7" applyNumberFormat="1" applyFont="1" applyBorder="1" applyAlignment="1">
      <alignment horizontal="center" vertical="center"/>
    </xf>
    <xf numFmtId="3" fontId="25" fillId="0" borderId="1" xfId="7" applyNumberFormat="1" applyFont="1" applyBorder="1" applyAlignment="1">
      <alignment horizontal="center" vertical="center"/>
    </xf>
    <xf numFmtId="3" fontId="25" fillId="0" borderId="2" xfId="7" applyNumberFormat="1" applyFont="1" applyBorder="1" applyAlignment="1">
      <alignment horizontal="center" vertical="center"/>
    </xf>
    <xf numFmtId="3" fontId="25" fillId="0" borderId="57" xfId="7" applyNumberFormat="1" applyFont="1" applyBorder="1" applyAlignment="1">
      <alignment horizontal="center" vertical="center"/>
    </xf>
    <xf numFmtId="0" fontId="35" fillId="0" borderId="64" xfId="7" applyFont="1" applyBorder="1" applyAlignment="1">
      <alignment vertical="top" wrapText="1"/>
    </xf>
    <xf numFmtId="0" fontId="9" fillId="0" borderId="60" xfId="7" applyFont="1" applyBorder="1" applyAlignment="1">
      <alignment horizontal="center" vertical="center"/>
    </xf>
    <xf numFmtId="3" fontId="30" fillId="0" borderId="41" xfId="7" applyNumberFormat="1" applyFont="1" applyBorder="1" applyAlignment="1">
      <alignment horizontal="center" vertical="center"/>
    </xf>
    <xf numFmtId="3" fontId="25" fillId="0" borderId="59" xfId="7" applyNumberFormat="1" applyFont="1" applyBorder="1" applyAlignment="1">
      <alignment horizontal="center" vertical="center"/>
    </xf>
    <xf numFmtId="3" fontId="25" fillId="0" borderId="60" xfId="7" applyNumberFormat="1" applyFont="1" applyBorder="1" applyAlignment="1">
      <alignment horizontal="center" vertical="center"/>
    </xf>
    <xf numFmtId="0" fontId="35" fillId="0" borderId="66" xfId="7" applyFont="1" applyBorder="1" applyAlignment="1">
      <alignment vertical="top" wrapText="1"/>
    </xf>
    <xf numFmtId="3" fontId="30" fillId="0" borderId="37" xfId="7" applyNumberFormat="1" applyFont="1" applyBorder="1" applyAlignment="1">
      <alignment horizontal="center" vertical="center"/>
    </xf>
    <xf numFmtId="3" fontId="25" fillId="0" borderId="18" xfId="7" applyNumberFormat="1" applyFont="1" applyBorder="1" applyAlignment="1">
      <alignment horizontal="center" vertical="center"/>
    </xf>
    <xf numFmtId="3" fontId="25" fillId="0" borderId="61" xfId="7" applyNumberFormat="1" applyFont="1" applyBorder="1" applyAlignment="1">
      <alignment horizontal="center" vertical="center"/>
    </xf>
    <xf numFmtId="3" fontId="25" fillId="0" borderId="68" xfId="7" applyNumberFormat="1" applyFont="1" applyBorder="1" applyAlignment="1">
      <alignment horizontal="center" vertical="center"/>
    </xf>
    <xf numFmtId="0" fontId="35" fillId="0" borderId="0" xfId="7" applyFont="1" applyAlignment="1">
      <alignment vertical="top" wrapText="1"/>
    </xf>
    <xf numFmtId="0" fontId="9" fillId="0" borderId="0" xfId="7" applyFont="1" applyAlignment="1">
      <alignment horizontal="center" vertical="center"/>
    </xf>
    <xf numFmtId="3" fontId="30" fillId="0" borderId="0" xfId="7" applyNumberFormat="1" applyFont="1" applyAlignment="1">
      <alignment horizontal="center" vertical="center"/>
    </xf>
    <xf numFmtId="3" fontId="25" fillId="0" borderId="0" xfId="7" applyNumberFormat="1" applyFont="1" applyAlignment="1">
      <alignment horizontal="center" vertical="center"/>
    </xf>
    <xf numFmtId="3" fontId="30" fillId="0" borderId="6" xfId="7" applyNumberFormat="1" applyFont="1" applyBorder="1" applyAlignment="1">
      <alignment horizontal="center"/>
    </xf>
    <xf numFmtId="0" fontId="9" fillId="0" borderId="61" xfId="7" applyFont="1" applyBorder="1" applyAlignment="1">
      <alignment horizontal="center" vertical="center"/>
    </xf>
    <xf numFmtId="3" fontId="25" fillId="0" borderId="1" xfId="7" applyNumberFormat="1" applyFont="1" applyBorder="1" applyAlignment="1">
      <alignment horizontal="center"/>
    </xf>
    <xf numFmtId="3" fontId="25" fillId="0" borderId="57" xfId="7" applyNumberFormat="1" applyFont="1" applyBorder="1" applyAlignment="1">
      <alignment horizontal="center"/>
    </xf>
    <xf numFmtId="3" fontId="35" fillId="0" borderId="0" xfId="7" applyNumberFormat="1" applyFont="1" applyAlignment="1">
      <alignment horizontal="center" vertical="center"/>
    </xf>
    <xf numFmtId="3" fontId="25" fillId="0" borderId="0" xfId="7" applyNumberFormat="1" applyFont="1" applyAlignment="1">
      <alignment horizontal="center"/>
    </xf>
    <xf numFmtId="0" fontId="9" fillId="0" borderId="67" xfId="7" applyFont="1" applyBorder="1" applyAlignment="1">
      <alignment horizontal="center" vertical="center"/>
    </xf>
    <xf numFmtId="3" fontId="30" fillId="0" borderId="0" xfId="7" applyNumberFormat="1" applyFont="1" applyAlignment="1">
      <alignment horizontal="center"/>
    </xf>
    <xf numFmtId="0" fontId="35" fillId="0" borderId="0" xfId="7" applyFont="1"/>
    <xf numFmtId="0" fontId="9" fillId="0" borderId="54" xfId="7" applyFont="1" applyBorder="1" applyAlignment="1">
      <alignment horizontal="center" vertical="center"/>
    </xf>
    <xf numFmtId="3" fontId="30" fillId="0" borderId="1" xfId="7" applyNumberFormat="1" applyFont="1" applyBorder="1" applyAlignment="1">
      <alignment horizontal="center" vertical="center"/>
    </xf>
    <xf numFmtId="0" fontId="35" fillId="0" borderId="0" xfId="7" applyFont="1" applyAlignment="1">
      <alignment horizontal="center" vertical="center"/>
    </xf>
    <xf numFmtId="0" fontId="9" fillId="0" borderId="22" xfId="7" applyFont="1" applyBorder="1" applyAlignment="1">
      <alignment horizontal="center" vertical="center"/>
    </xf>
    <xf numFmtId="0" fontId="35" fillId="0" borderId="23" xfId="7" applyFont="1" applyBorder="1" applyAlignment="1">
      <alignment horizontal="center" vertical="center"/>
    </xf>
    <xf numFmtId="0" fontId="35" fillId="0" borderId="73" xfId="7" applyFont="1" applyBorder="1" applyAlignment="1">
      <alignment horizontal="center" vertical="center"/>
    </xf>
    <xf numFmtId="0" fontId="9" fillId="0" borderId="29" xfId="7" applyFont="1" applyBorder="1" applyAlignment="1">
      <alignment horizontal="center" vertical="center"/>
    </xf>
    <xf numFmtId="0" fontId="35" fillId="0" borderId="29" xfId="7" applyFont="1" applyBorder="1" applyAlignment="1">
      <alignment horizontal="center" vertical="center"/>
    </xf>
    <xf numFmtId="0" fontId="9" fillId="0" borderId="28" xfId="7" applyFont="1" applyBorder="1" applyAlignment="1">
      <alignment horizontal="center" vertical="center"/>
    </xf>
    <xf numFmtId="0" fontId="35" fillId="0" borderId="24" xfId="7" applyFont="1" applyBorder="1" applyAlignment="1">
      <alignment vertical="top" wrapText="1"/>
    </xf>
    <xf numFmtId="0" fontId="35" fillId="0" borderId="15" xfId="7" applyFont="1" applyBorder="1" applyAlignment="1">
      <alignment horizontal="center" vertical="center"/>
    </xf>
    <xf numFmtId="0" fontId="35" fillId="0" borderId="42" xfId="7" applyFont="1" applyBorder="1" applyAlignment="1">
      <alignment vertical="top" wrapText="1"/>
    </xf>
    <xf numFmtId="0" fontId="35" fillId="0" borderId="4" xfId="7" applyFont="1" applyBorder="1" applyAlignment="1">
      <alignment horizontal="center" vertical="center"/>
    </xf>
    <xf numFmtId="0" fontId="35" fillId="0" borderId="25" xfId="7" applyFont="1" applyBorder="1" applyAlignment="1">
      <alignment horizontal="left" vertical="top" wrapText="1"/>
    </xf>
    <xf numFmtId="0" fontId="35" fillId="0" borderId="52" xfId="7" applyFont="1" applyBorder="1" applyAlignment="1">
      <alignment horizontal="center" vertical="center"/>
    </xf>
    <xf numFmtId="0" fontId="35" fillId="0" borderId="56" xfId="7" applyFont="1" applyBorder="1" applyAlignment="1">
      <alignment horizontal="center" vertical="center"/>
    </xf>
    <xf numFmtId="0" fontId="35" fillId="0" borderId="22" xfId="7" applyFont="1" applyBorder="1" applyAlignment="1">
      <alignment horizontal="center" vertical="center"/>
    </xf>
    <xf numFmtId="3" fontId="25" fillId="0" borderId="23" xfId="7" applyNumberFormat="1" applyFont="1" applyBorder="1" applyAlignment="1">
      <alignment horizontal="center" vertical="center"/>
    </xf>
    <xf numFmtId="0" fontId="35" fillId="0" borderId="28" xfId="7" applyFont="1" applyBorder="1" applyAlignment="1">
      <alignment horizontal="center" vertical="center"/>
    </xf>
    <xf numFmtId="0" fontId="35" fillId="0" borderId="30" xfId="7" applyFont="1" applyBorder="1" applyAlignment="1">
      <alignment horizontal="center" vertical="center"/>
    </xf>
    <xf numFmtId="3" fontId="30" fillId="0" borderId="54" xfId="7" applyNumberFormat="1" applyFont="1" applyBorder="1" applyAlignment="1">
      <alignment horizontal="center" vertical="center"/>
    </xf>
    <xf numFmtId="3" fontId="30" fillId="0" borderId="29" xfId="7" applyNumberFormat="1" applyFont="1" applyBorder="1" applyAlignment="1">
      <alignment horizontal="center" vertical="center"/>
    </xf>
    <xf numFmtId="3" fontId="25" fillId="0" borderId="29" xfId="7" applyNumberFormat="1" applyFont="1" applyBorder="1" applyAlignment="1">
      <alignment horizontal="center" vertical="center"/>
    </xf>
    <xf numFmtId="3" fontId="25" fillId="0" borderId="30" xfId="7" applyNumberFormat="1" applyFont="1" applyBorder="1" applyAlignment="1">
      <alignment horizontal="center" vertical="center"/>
    </xf>
    <xf numFmtId="0" fontId="35" fillId="0" borderId="42" xfId="7" applyFont="1" applyBorder="1"/>
    <xf numFmtId="0" fontId="35" fillId="0" borderId="58" xfId="7" applyFont="1" applyBorder="1" applyAlignment="1">
      <alignment horizontal="center" vertical="center"/>
    </xf>
    <xf numFmtId="0" fontId="35" fillId="0" borderId="19" xfId="7" applyFont="1" applyBorder="1" applyAlignment="1">
      <alignment horizontal="center" vertical="center"/>
    </xf>
    <xf numFmtId="3" fontId="9" fillId="0" borderId="0" xfId="7" applyNumberFormat="1" applyFont="1" applyAlignment="1">
      <alignment horizontal="center" vertical="center"/>
    </xf>
    <xf numFmtId="3" fontId="9" fillId="0" borderId="29" xfId="7" applyNumberFormat="1" applyFont="1" applyBorder="1" applyAlignment="1">
      <alignment horizontal="center" vertical="center"/>
    </xf>
    <xf numFmtId="0" fontId="35" fillId="0" borderId="24" xfId="7" applyFont="1" applyBorder="1" applyAlignment="1">
      <alignment horizontal="left" vertical="top" wrapText="1"/>
    </xf>
    <xf numFmtId="0" fontId="35" fillId="0" borderId="5" xfId="7" applyFont="1" applyBorder="1"/>
    <xf numFmtId="0" fontId="35" fillId="0" borderId="42" xfId="7" applyFont="1" applyBorder="1" applyAlignment="1">
      <alignment horizontal="left" vertical="top" wrapText="1"/>
    </xf>
    <xf numFmtId="3" fontId="25" fillId="0" borderId="10" xfId="7" applyNumberFormat="1" applyFont="1" applyBorder="1" applyAlignment="1">
      <alignment horizontal="center" vertical="center"/>
    </xf>
    <xf numFmtId="0" fontId="35" fillId="0" borderId="74" xfId="7" applyFont="1" applyBorder="1" applyAlignment="1">
      <alignment horizontal="center" vertical="center"/>
    </xf>
    <xf numFmtId="0" fontId="35" fillId="0" borderId="0" xfId="7" applyFont="1" applyAlignment="1">
      <alignment horizontal="left" vertical="top" wrapText="1"/>
    </xf>
    <xf numFmtId="0" fontId="33" fillId="0" borderId="0" xfId="7" applyFont="1" applyAlignment="1">
      <alignment horizontal="left" vertical="center"/>
    </xf>
    <xf numFmtId="170" fontId="9" fillId="0" borderId="0" xfId="7" applyNumberFormat="1" applyFont="1" applyAlignment="1">
      <alignment horizontal="center" vertical="center"/>
    </xf>
    <xf numFmtId="0" fontId="36" fillId="0" borderId="0" xfId="7" applyFont="1" applyAlignment="1">
      <alignment horizontal="left" vertical="top" wrapText="1"/>
    </xf>
    <xf numFmtId="0" fontId="35" fillId="0" borderId="54" xfId="7" applyFont="1" applyBorder="1" applyAlignment="1">
      <alignment horizontal="center" vertical="center"/>
    </xf>
    <xf numFmtId="3" fontId="25" fillId="0" borderId="54" xfId="7" applyNumberFormat="1" applyFont="1" applyBorder="1" applyAlignment="1">
      <alignment horizontal="center"/>
    </xf>
    <xf numFmtId="3" fontId="25" fillId="0" borderId="55" xfId="7" applyNumberFormat="1" applyFont="1" applyBorder="1" applyAlignment="1">
      <alignment horizontal="center"/>
    </xf>
    <xf numFmtId="0" fontId="35" fillId="0" borderId="1" xfId="7" applyFont="1" applyBorder="1" applyAlignment="1">
      <alignment horizontal="center" vertical="center"/>
    </xf>
    <xf numFmtId="0" fontId="35" fillId="0" borderId="59" xfId="7" applyFont="1" applyBorder="1" applyAlignment="1">
      <alignment horizontal="center" vertical="center"/>
    </xf>
    <xf numFmtId="3" fontId="25" fillId="0" borderId="59" xfId="7" applyNumberFormat="1" applyFont="1" applyBorder="1" applyAlignment="1">
      <alignment horizontal="center"/>
    </xf>
    <xf numFmtId="3" fontId="25" fillId="0" borderId="60" xfId="7" applyNumberFormat="1" applyFont="1" applyBorder="1" applyAlignment="1">
      <alignment horizontal="center"/>
    </xf>
    <xf numFmtId="0" fontId="35" fillId="0" borderId="18" xfId="7" applyFont="1" applyBorder="1" applyAlignment="1">
      <alignment horizontal="center" vertical="center"/>
    </xf>
    <xf numFmtId="0" fontId="35" fillId="0" borderId="17" xfId="7" applyFont="1" applyBorder="1" applyAlignment="1">
      <alignment horizontal="center" vertical="center"/>
    </xf>
    <xf numFmtId="0" fontId="35" fillId="0" borderId="6" xfId="7" applyFont="1" applyBorder="1"/>
    <xf numFmtId="0" fontId="30" fillId="0" borderId="0" xfId="7" applyFont="1"/>
    <xf numFmtId="0" fontId="38" fillId="0" borderId="0" xfId="0" applyFont="1" applyAlignment="1">
      <alignment vertical="center" wrapText="1"/>
    </xf>
    <xf numFmtId="0" fontId="38" fillId="0" borderId="0" xfId="0" applyFont="1"/>
    <xf numFmtId="0" fontId="41" fillId="0" borderId="0" xfId="0" applyFont="1" applyFill="1"/>
    <xf numFmtId="0" fontId="43" fillId="0" borderId="0" xfId="5" applyFont="1" applyFill="1" applyBorder="1"/>
    <xf numFmtId="10" fontId="25" fillId="0" borderId="0" xfId="1" applyNumberFormat="1" applyFont="1" applyFill="1" applyBorder="1"/>
    <xf numFmtId="0" fontId="25" fillId="0" borderId="0" xfId="5" applyFont="1" applyFill="1" applyBorder="1" applyAlignment="1">
      <alignment horizontal="left"/>
    </xf>
    <xf numFmtId="0" fontId="44" fillId="6" borderId="0" xfId="0" applyFont="1" applyFill="1"/>
    <xf numFmtId="0" fontId="45" fillId="6" borderId="0" xfId="0" applyFont="1" applyFill="1"/>
    <xf numFmtId="0" fontId="46" fillId="6" borderId="0" xfId="0" applyFont="1" applyFill="1"/>
    <xf numFmtId="0" fontId="41" fillId="0" borderId="0" xfId="0" applyFont="1"/>
    <xf numFmtId="0" fontId="41" fillId="0" borderId="0" xfId="0" applyFont="1" applyBorder="1"/>
    <xf numFmtId="0" fontId="41" fillId="0" borderId="0" xfId="0" applyFont="1" applyFill="1" applyBorder="1"/>
    <xf numFmtId="166" fontId="41" fillId="0" borderId="0" xfId="3" applyNumberFormat="1" applyFont="1"/>
    <xf numFmtId="0" fontId="20" fillId="0" borderId="0" xfId="0" applyFont="1"/>
    <xf numFmtId="166" fontId="48" fillId="0" borderId="0" xfId="3" applyNumberFormat="1" applyFont="1" applyAlignment="1">
      <alignment horizontal="center" vertical="center"/>
    </xf>
    <xf numFmtId="0" fontId="48" fillId="0" borderId="0" xfId="2" applyFont="1" applyAlignment="1">
      <alignment horizontal="center" vertical="center"/>
    </xf>
    <xf numFmtId="166" fontId="48" fillId="0" borderId="0" xfId="2" applyNumberFormat="1" applyFont="1" applyAlignment="1">
      <alignment horizontal="center" vertical="center"/>
    </xf>
    <xf numFmtId="0" fontId="43" fillId="0" borderId="0" xfId="0" applyFont="1" applyFill="1"/>
    <xf numFmtId="0" fontId="43" fillId="0" borderId="0" xfId="0" applyFont="1" applyFill="1" applyAlignment="1">
      <alignment horizontal="center"/>
    </xf>
    <xf numFmtId="0" fontId="49" fillId="0" borderId="0" xfId="0" applyFont="1"/>
    <xf numFmtId="0" fontId="41" fillId="0" borderId="12" xfId="0" applyFont="1" applyBorder="1"/>
    <xf numFmtId="0" fontId="41" fillId="0" borderId="11" xfId="0" applyFont="1" applyBorder="1"/>
    <xf numFmtId="0" fontId="50" fillId="0" borderId="0" xfId="0" applyFont="1"/>
    <xf numFmtId="0" fontId="51" fillId="0" borderId="0" xfId="0" applyFont="1"/>
    <xf numFmtId="167" fontId="41" fillId="4" borderId="0" xfId="0" applyNumberFormat="1" applyFont="1" applyFill="1" applyBorder="1"/>
    <xf numFmtId="1" fontId="41" fillId="4" borderId="0" xfId="0" applyNumberFormat="1" applyFont="1" applyFill="1" applyBorder="1"/>
    <xf numFmtId="166" fontId="41" fillId="4" borderId="0" xfId="3" applyNumberFormat="1" applyFont="1" applyFill="1" applyBorder="1"/>
    <xf numFmtId="167" fontId="41" fillId="0" borderId="0" xfId="0" applyNumberFormat="1" applyFont="1" applyBorder="1"/>
    <xf numFmtId="1" fontId="41" fillId="0" borderId="0" xfId="0" applyNumberFormat="1" applyFont="1" applyBorder="1"/>
    <xf numFmtId="166" fontId="41" fillId="0" borderId="0" xfId="3" applyNumberFormat="1" applyFont="1" applyBorder="1"/>
    <xf numFmtId="0" fontId="41" fillId="0" borderId="0" xfId="0" applyFont="1" applyAlignment="1">
      <alignment horizontal="left" vertical="center"/>
    </xf>
    <xf numFmtId="0" fontId="47" fillId="7" borderId="0" xfId="0" applyFont="1" applyFill="1"/>
    <xf numFmtId="14" fontId="47" fillId="7" borderId="0" xfId="0" applyNumberFormat="1" applyFont="1" applyFill="1"/>
    <xf numFmtId="166" fontId="41" fillId="7" borderId="0" xfId="3" applyNumberFormat="1" applyFont="1" applyFill="1"/>
    <xf numFmtId="0" fontId="41" fillId="7" borderId="0" xfId="0" applyFont="1" applyFill="1"/>
    <xf numFmtId="0" fontId="25" fillId="7" borderId="0" xfId="0" applyFont="1" applyFill="1"/>
    <xf numFmtId="0" fontId="1" fillId="0" borderId="0" xfId="0" applyFont="1" applyBorder="1"/>
    <xf numFmtId="0" fontId="3" fillId="0" borderId="0" xfId="0" applyFont="1" applyAlignment="1">
      <alignment horizontal="left"/>
    </xf>
    <xf numFmtId="0" fontId="2" fillId="0" borderId="0" xfId="0" applyFont="1" applyAlignment="1">
      <alignment horizontal="left" indent="1"/>
    </xf>
    <xf numFmtId="0" fontId="43" fillId="0" borderId="0" xfId="0" applyFont="1"/>
    <xf numFmtId="9" fontId="16" fillId="0" borderId="0" xfId="0" applyNumberFormat="1" applyFont="1" applyAlignment="1">
      <alignment horizontal="left"/>
    </xf>
    <xf numFmtId="9" fontId="19" fillId="0" borderId="6" xfId="0" applyNumberFormat="1" applyFont="1" applyBorder="1" applyAlignment="1">
      <alignment horizontal="center" vertical="center"/>
    </xf>
    <xf numFmtId="9" fontId="18" fillId="5" borderId="44" xfId="0" applyNumberFormat="1" applyFont="1" applyFill="1" applyBorder="1" applyProtection="1">
      <protection locked="0"/>
    </xf>
    <xf numFmtId="9" fontId="18" fillId="5" borderId="47" xfId="0" applyNumberFormat="1" applyFont="1" applyFill="1" applyBorder="1" applyProtection="1">
      <protection locked="0"/>
    </xf>
    <xf numFmtId="9" fontId="18" fillId="5" borderId="50" xfId="0" applyNumberFormat="1" applyFont="1" applyFill="1" applyBorder="1" applyProtection="1">
      <protection locked="0"/>
    </xf>
    <xf numFmtId="3" fontId="16" fillId="0" borderId="0" xfId="0" applyNumberFormat="1" applyFont="1" applyAlignment="1">
      <alignment horizontal="left"/>
    </xf>
    <xf numFmtId="3" fontId="19" fillId="0" borderId="6" xfId="0" applyNumberFormat="1" applyFont="1" applyBorder="1" applyAlignment="1">
      <alignment horizontal="center" vertical="center"/>
    </xf>
    <xf numFmtId="3" fontId="18" fillId="5" borderId="43" xfId="0" applyNumberFormat="1" applyFont="1" applyFill="1" applyBorder="1" applyProtection="1">
      <protection locked="0"/>
    </xf>
    <xf numFmtId="3" fontId="18" fillId="5" borderId="46" xfId="0" applyNumberFormat="1" applyFont="1" applyFill="1" applyBorder="1" applyProtection="1">
      <protection locked="0"/>
    </xf>
    <xf numFmtId="3" fontId="18" fillId="5" borderId="49" xfId="0" applyNumberFormat="1" applyFont="1" applyFill="1" applyBorder="1" applyProtection="1">
      <protection locked="0"/>
    </xf>
    <xf numFmtId="3" fontId="18" fillId="5" borderId="44" xfId="0" applyNumberFormat="1" applyFont="1" applyFill="1" applyBorder="1" applyProtection="1">
      <protection locked="0"/>
    </xf>
    <xf numFmtId="3" fontId="18" fillId="5" borderId="47" xfId="0" applyNumberFormat="1" applyFont="1" applyFill="1" applyBorder="1" applyProtection="1">
      <protection locked="0"/>
    </xf>
    <xf numFmtId="3" fontId="18" fillId="5" borderId="50" xfId="0" applyNumberFormat="1" applyFont="1" applyFill="1" applyBorder="1" applyProtection="1">
      <protection locked="0"/>
    </xf>
    <xf numFmtId="9" fontId="19" fillId="0" borderId="7" xfId="0" applyNumberFormat="1" applyFont="1" applyBorder="1" applyAlignment="1">
      <alignment horizontal="center" vertical="center"/>
    </xf>
    <xf numFmtId="0" fontId="1" fillId="0" borderId="0" xfId="0" applyFont="1" applyAlignment="1">
      <alignment wrapText="1"/>
    </xf>
    <xf numFmtId="9" fontId="18" fillId="5" borderId="45" xfId="0" applyNumberFormat="1" applyFont="1" applyFill="1" applyBorder="1" applyAlignment="1" applyProtection="1">
      <alignment horizontal="center"/>
      <protection locked="0"/>
    </xf>
    <xf numFmtId="9" fontId="18" fillId="5" borderId="48" xfId="0" applyNumberFormat="1" applyFont="1" applyFill="1" applyBorder="1" applyAlignment="1" applyProtection="1">
      <alignment horizontal="center"/>
      <protection locked="0"/>
    </xf>
    <xf numFmtId="9" fontId="18" fillId="5" borderId="51" xfId="0" applyNumberFormat="1" applyFont="1" applyFill="1" applyBorder="1" applyAlignment="1" applyProtection="1">
      <alignment horizontal="center"/>
      <protection locked="0"/>
    </xf>
    <xf numFmtId="168" fontId="0" fillId="0" borderId="13" xfId="3" applyNumberFormat="1" applyFont="1" applyFill="1" applyBorder="1"/>
    <xf numFmtId="3" fontId="53" fillId="0" borderId="0" xfId="0" applyNumberFormat="1" applyFont="1"/>
    <xf numFmtId="3" fontId="53" fillId="0" borderId="0" xfId="0" applyNumberFormat="1" applyFont="1" applyAlignment="1">
      <alignment horizontal="right"/>
    </xf>
    <xf numFmtId="0" fontId="56" fillId="0" borderId="0" xfId="0" applyFont="1"/>
    <xf numFmtId="10" fontId="53" fillId="0" borderId="0" xfId="1" applyNumberFormat="1" applyFont="1"/>
    <xf numFmtId="4" fontId="53" fillId="0" borderId="0" xfId="0" applyNumberFormat="1" applyFont="1"/>
    <xf numFmtId="0" fontId="43" fillId="10" borderId="0" xfId="0" applyFont="1" applyFill="1" applyBorder="1" applyAlignment="1">
      <alignment horizontal="center" vertical="center"/>
    </xf>
    <xf numFmtId="0" fontId="43" fillId="10" borderId="0" xfId="0" applyFont="1" applyFill="1" applyBorder="1" applyAlignment="1">
      <alignment horizontal="center" vertical="center" wrapText="1"/>
    </xf>
    <xf numFmtId="0" fontId="41" fillId="3" borderId="0" xfId="0" applyFont="1" applyFill="1" applyBorder="1"/>
    <xf numFmtId="0" fontId="25" fillId="3" borderId="0" xfId="5" applyFont="1" applyFill="1" applyBorder="1"/>
    <xf numFmtId="0" fontId="44" fillId="6" borderId="0" xfId="0" applyFont="1" applyFill="1" applyAlignment="1">
      <alignment horizontal="left"/>
    </xf>
    <xf numFmtId="0" fontId="41" fillId="0" borderId="0" xfId="0" applyFont="1" applyAlignment="1">
      <alignment horizontal="left"/>
    </xf>
    <xf numFmtId="0" fontId="41" fillId="3" borderId="0" xfId="0" applyFont="1" applyFill="1" applyBorder="1" applyAlignment="1">
      <alignment horizontal="left"/>
    </xf>
    <xf numFmtId="0" fontId="25" fillId="3" borderId="0" xfId="5" applyFont="1" applyFill="1" applyBorder="1" applyAlignment="1">
      <alignment horizontal="left"/>
    </xf>
    <xf numFmtId="2" fontId="41" fillId="3" borderId="0" xfId="0" applyNumberFormat="1" applyFont="1" applyFill="1" applyBorder="1" applyAlignment="1">
      <alignment horizontal="center"/>
    </xf>
    <xf numFmtId="0" fontId="41" fillId="10" borderId="0" xfId="0" applyFont="1" applyFill="1" applyBorder="1" applyAlignment="1">
      <alignment vertical="center"/>
    </xf>
    <xf numFmtId="0" fontId="30" fillId="3" borderId="0" xfId="5" applyFont="1" applyFill="1" applyBorder="1"/>
    <xf numFmtId="0" fontId="42" fillId="3" borderId="0" xfId="5" applyFont="1" applyFill="1" applyBorder="1" applyAlignment="1">
      <alignment horizontal="left" vertical="center"/>
    </xf>
    <xf numFmtId="0" fontId="43" fillId="3" borderId="0" xfId="5" applyFont="1" applyFill="1" applyBorder="1"/>
    <xf numFmtId="169" fontId="42" fillId="3" borderId="0" xfId="1" applyNumberFormat="1" applyFont="1" applyFill="1" applyBorder="1" applyAlignment="1">
      <alignment horizontal="center" vertical="center"/>
    </xf>
    <xf numFmtId="169" fontId="25" fillId="3" borderId="0" xfId="1" applyNumberFormat="1" applyFont="1" applyFill="1" applyBorder="1" applyAlignment="1">
      <alignment horizontal="center"/>
    </xf>
    <xf numFmtId="9" fontId="0" fillId="0" borderId="0" xfId="1" applyFont="1"/>
    <xf numFmtId="2" fontId="53" fillId="0" borderId="0" xfId="0" applyNumberFormat="1" applyFont="1" applyAlignment="1">
      <alignment horizontal="right"/>
    </xf>
    <xf numFmtId="2" fontId="53" fillId="0" borderId="0" xfId="1" applyNumberFormat="1" applyFont="1"/>
    <xf numFmtId="2" fontId="53" fillId="0" borderId="0" xfId="0" applyNumberFormat="1" applyFont="1"/>
    <xf numFmtId="2" fontId="0" fillId="0" borderId="0" xfId="0" applyNumberFormat="1" applyFont="1"/>
    <xf numFmtId="168" fontId="0" fillId="0" borderId="8" xfId="3" applyNumberFormat="1" applyFont="1" applyBorder="1"/>
    <xf numFmtId="168" fontId="0" fillId="0" borderId="9" xfId="3" applyNumberFormat="1" applyFont="1" applyBorder="1"/>
    <xf numFmtId="168" fontId="0" fillId="0" borderId="10" xfId="3" applyNumberFormat="1" applyFont="1" applyBorder="1"/>
    <xf numFmtId="0" fontId="12" fillId="0" borderId="2" xfId="4" applyFont="1" applyBorder="1" applyAlignment="1">
      <alignment horizontal="right" vertical="center" wrapText="1"/>
    </xf>
    <xf numFmtId="0" fontId="12" fillId="0" borderId="3" xfId="4" applyFont="1" applyBorder="1" applyAlignment="1">
      <alignment horizontal="right" vertical="center" wrapText="1"/>
    </xf>
    <xf numFmtId="166" fontId="1" fillId="0" borderId="3" xfId="3" applyNumberFormat="1" applyFont="1" applyBorder="1" applyAlignment="1">
      <alignment horizontal="right" vertical="center" wrapText="1"/>
    </xf>
    <xf numFmtId="0" fontId="1" fillId="0" borderId="3" xfId="0" applyFont="1" applyBorder="1" applyAlignment="1">
      <alignment horizontal="right" vertical="center" wrapText="1"/>
    </xf>
    <xf numFmtId="0" fontId="1" fillId="0" borderId="4" xfId="0" applyFont="1" applyBorder="1" applyAlignment="1">
      <alignment horizontal="right" vertical="center" wrapText="1"/>
    </xf>
    <xf numFmtId="0" fontId="5" fillId="0" borderId="0" xfId="0" applyFont="1" applyAlignment="1">
      <alignment horizontal="right" vertical="center" wrapText="1"/>
    </xf>
    <xf numFmtId="0" fontId="60" fillId="0" borderId="1" xfId="0" applyFont="1" applyBorder="1" applyAlignment="1">
      <alignment horizontal="center" vertical="center" wrapText="1"/>
    </xf>
    <xf numFmtId="172" fontId="60" fillId="0" borderId="1" xfId="0" applyNumberFormat="1" applyFont="1" applyBorder="1" applyAlignment="1">
      <alignment horizontal="center" vertical="center" wrapText="1"/>
    </xf>
    <xf numFmtId="0" fontId="60" fillId="0" borderId="1" xfId="13" applyFont="1" applyBorder="1" applyAlignment="1">
      <alignment horizontal="center" vertical="center" wrapText="1"/>
    </xf>
    <xf numFmtId="172" fontId="60" fillId="0" borderId="1" xfId="13" applyNumberFormat="1" applyFont="1" applyBorder="1" applyAlignment="1">
      <alignment horizontal="center" vertical="center" wrapText="1"/>
    </xf>
    <xf numFmtId="0" fontId="61" fillId="0" borderId="1" xfId="0" applyFont="1" applyBorder="1" applyAlignment="1">
      <alignment horizontal="center" vertical="center"/>
    </xf>
    <xf numFmtId="0" fontId="61" fillId="0" borderId="1" xfId="0" applyFont="1" applyBorder="1" applyAlignment="1">
      <alignment vertical="center" wrapText="1"/>
    </xf>
    <xf numFmtId="172" fontId="61" fillId="0" borderId="1" xfId="0" applyNumberFormat="1" applyFont="1" applyBorder="1" applyAlignment="1">
      <alignment horizontal="center" vertical="center"/>
    </xf>
    <xf numFmtId="0" fontId="61" fillId="0" borderId="1" xfId="0" applyFont="1" applyBorder="1" applyAlignment="1">
      <alignment horizontal="center" vertical="center" wrapText="1"/>
    </xf>
    <xf numFmtId="172" fontId="61" fillId="0" borderId="1" xfId="0" applyNumberFormat="1" applyFont="1" applyBorder="1" applyAlignment="1">
      <alignment horizontal="center" vertical="center" wrapText="1"/>
    </xf>
    <xf numFmtId="0" fontId="61" fillId="0" borderId="2" xfId="0" applyFont="1" applyBorder="1" applyAlignment="1">
      <alignment horizontal="center" vertical="center"/>
    </xf>
    <xf numFmtId="0" fontId="61" fillId="0" borderId="1" xfId="0" applyFont="1" applyBorder="1" applyAlignment="1">
      <alignment horizontal="left" vertical="center" wrapText="1"/>
    </xf>
    <xf numFmtId="0" fontId="61" fillId="0" borderId="1" xfId="0" applyFont="1" applyBorder="1"/>
    <xf numFmtId="0" fontId="13" fillId="13" borderId="0" xfId="0" applyFont="1" applyFill="1" applyAlignment="1">
      <alignment vertical="center"/>
    </xf>
    <xf numFmtId="0" fontId="6" fillId="13" borderId="0" xfId="0" applyFont="1" applyFill="1"/>
    <xf numFmtId="0" fontId="14" fillId="13" borderId="0" xfId="0" applyFont="1" applyFill="1"/>
    <xf numFmtId="0" fontId="15" fillId="13" borderId="0" xfId="0" applyFont="1" applyFill="1"/>
    <xf numFmtId="0" fontId="44" fillId="13" borderId="0" xfId="0" applyFont="1" applyFill="1"/>
    <xf numFmtId="168" fontId="53" fillId="0" borderId="0" xfId="0" applyNumberFormat="1" applyFont="1" applyBorder="1"/>
    <xf numFmtId="168" fontId="18" fillId="0" borderId="0" xfId="0" applyNumberFormat="1" applyFont="1" applyBorder="1"/>
    <xf numFmtId="168" fontId="18" fillId="0" borderId="29" xfId="0" applyNumberFormat="1" applyFont="1" applyBorder="1"/>
    <xf numFmtId="0" fontId="25" fillId="0" borderId="0" xfId="7" applyFont="1" applyBorder="1"/>
    <xf numFmtId="0" fontId="25" fillId="0" borderId="0" xfId="7" applyFont="1" applyFill="1" applyBorder="1"/>
    <xf numFmtId="0" fontId="63" fillId="0" borderId="0" xfId="7" applyFont="1" applyFill="1" applyBorder="1"/>
    <xf numFmtId="0" fontId="63" fillId="0" borderId="0" xfId="0" applyFont="1" applyFill="1" applyBorder="1"/>
    <xf numFmtId="0" fontId="57" fillId="0" borderId="0" xfId="0" applyFont="1" applyFill="1" applyBorder="1" applyAlignment="1">
      <alignment wrapText="1"/>
    </xf>
    <xf numFmtId="0" fontId="57" fillId="0" borderId="0" xfId="0" applyFont="1" applyFill="1" applyBorder="1" applyAlignment="1"/>
    <xf numFmtId="2" fontId="25" fillId="3" borderId="0" xfId="5" applyNumberFormat="1" applyFont="1" applyFill="1" applyBorder="1" applyAlignment="1">
      <alignment horizontal="center"/>
    </xf>
    <xf numFmtId="10" fontId="41" fillId="3" borderId="0" xfId="0" applyNumberFormat="1" applyFont="1" applyFill="1" applyBorder="1"/>
    <xf numFmtId="10" fontId="25" fillId="3" borderId="0" xfId="5" applyNumberFormat="1" applyFont="1" applyFill="1" applyBorder="1"/>
    <xf numFmtId="0" fontId="44" fillId="13" borderId="0" xfId="0" applyFont="1" applyFill="1" applyAlignment="1">
      <alignment horizontal="left"/>
    </xf>
    <xf numFmtId="0" fontId="45" fillId="13" borderId="0" xfId="0" applyFont="1" applyFill="1"/>
    <xf numFmtId="0" fontId="46" fillId="13" borderId="0" xfId="0" applyFont="1" applyFill="1"/>
    <xf numFmtId="0" fontId="6" fillId="6" borderId="0" xfId="0" applyFont="1" applyFill="1" applyAlignment="1">
      <alignment horizontal="left"/>
    </xf>
    <xf numFmtId="0" fontId="1" fillId="0" borderId="3" xfId="0" applyFont="1" applyBorder="1"/>
    <xf numFmtId="0" fontId="1" fillId="0" borderId="4" xfId="0" applyFont="1" applyBorder="1"/>
    <xf numFmtId="0" fontId="0" fillId="0" borderId="0" xfId="0" applyBorder="1"/>
    <xf numFmtId="0" fontId="43" fillId="10" borderId="0" xfId="5" applyFont="1" applyFill="1" applyBorder="1" applyAlignment="1">
      <alignment horizontal="left" vertical="center"/>
    </xf>
    <xf numFmtId="165" fontId="25" fillId="3" borderId="0" xfId="5" applyNumberFormat="1" applyFont="1" applyFill="1" applyBorder="1"/>
    <xf numFmtId="0" fontId="43" fillId="5" borderId="0" xfId="5" applyFont="1" applyFill="1" applyBorder="1"/>
    <xf numFmtId="165" fontId="25" fillId="5" borderId="0" xfId="5" applyNumberFormat="1" applyFont="1" applyFill="1" applyBorder="1"/>
    <xf numFmtId="165" fontId="25" fillId="5" borderId="0" xfId="6" applyNumberFormat="1" applyFont="1" applyFill="1" applyBorder="1" applyAlignment="1">
      <alignment horizontal="right"/>
    </xf>
    <xf numFmtId="0" fontId="35" fillId="0" borderId="0" xfId="7" applyFont="1" applyBorder="1" applyAlignment="1">
      <alignment horizontal="left" vertical="top" wrapText="1"/>
    </xf>
    <xf numFmtId="0" fontId="35" fillId="0" borderId="0" xfId="7" applyFont="1" applyBorder="1" applyAlignment="1">
      <alignment horizontal="center" vertical="center"/>
    </xf>
    <xf numFmtId="3" fontId="30" fillId="0" borderId="0" xfId="7" applyNumberFormat="1" applyFont="1" applyBorder="1" applyAlignment="1">
      <alignment horizontal="center" vertical="center"/>
    </xf>
    <xf numFmtId="3" fontId="25" fillId="0" borderId="0" xfId="7" applyNumberFormat="1" applyFont="1" applyBorder="1" applyAlignment="1">
      <alignment horizontal="center" vertical="center"/>
    </xf>
    <xf numFmtId="3" fontId="30" fillId="0" borderId="0" xfId="7" applyNumberFormat="1" applyFont="1" applyBorder="1" applyAlignment="1">
      <alignment horizontal="center"/>
    </xf>
    <xf numFmtId="0" fontId="30" fillId="0" borderId="0" xfId="7" applyFont="1" applyBorder="1"/>
    <xf numFmtId="0" fontId="41" fillId="0" borderId="0" xfId="0" applyFont="1" applyAlignment="1"/>
    <xf numFmtId="0" fontId="54" fillId="0" borderId="0" xfId="7" applyFont="1"/>
    <xf numFmtId="0" fontId="54" fillId="0" borderId="0" xfId="7" applyFont="1" applyFill="1" applyBorder="1"/>
    <xf numFmtId="0" fontId="55" fillId="0" borderId="0" xfId="7" applyFont="1"/>
    <xf numFmtId="0" fontId="55" fillId="0" borderId="0" xfId="0" applyFont="1" applyFill="1" applyBorder="1" applyAlignment="1">
      <alignment wrapText="1"/>
    </xf>
    <xf numFmtId="0" fontId="55" fillId="0" borderId="21" xfId="0" applyFont="1" applyFill="1" applyBorder="1" applyAlignment="1">
      <alignment horizontal="center" wrapText="1"/>
    </xf>
    <xf numFmtId="0" fontId="55" fillId="0" borderId="29" xfId="7" applyFont="1" applyBorder="1"/>
    <xf numFmtId="0" fontId="55" fillId="0" borderId="30" xfId="7" applyFont="1" applyBorder="1" applyAlignment="1">
      <alignment horizontal="center"/>
    </xf>
    <xf numFmtId="0" fontId="55" fillId="0" borderId="19" xfId="7" applyFont="1" applyBorder="1" applyAlignment="1">
      <alignment horizontal="center" wrapText="1"/>
    </xf>
    <xf numFmtId="0" fontId="55" fillId="0" borderId="28" xfId="7" applyFont="1" applyBorder="1" applyAlignment="1">
      <alignment horizontal="center"/>
    </xf>
    <xf numFmtId="0" fontId="55" fillId="0" borderId="20" xfId="7" applyFont="1" applyBorder="1" applyAlignment="1">
      <alignment horizontal="center" wrapText="1"/>
    </xf>
    <xf numFmtId="0" fontId="55" fillId="0" borderId="29" xfId="7" applyFont="1" applyFill="1" applyBorder="1" applyAlignment="1">
      <alignment horizontal="center"/>
    </xf>
    <xf numFmtId="0" fontId="55" fillId="0" borderId="29" xfId="7" applyFont="1" applyBorder="1" applyAlignment="1">
      <alignment horizontal="center"/>
    </xf>
    <xf numFmtId="0" fontId="54" fillId="0" borderId="0" xfId="0" applyFont="1"/>
    <xf numFmtId="0" fontId="55" fillId="0" borderId="0" xfId="0" applyFont="1" applyFill="1" applyBorder="1" applyAlignment="1"/>
    <xf numFmtId="0" fontId="55" fillId="0" borderId="0" xfId="0" applyFont="1" applyFill="1" applyBorder="1"/>
    <xf numFmtId="165" fontId="54" fillId="0" borderId="0" xfId="7" applyNumberFormat="1" applyFont="1"/>
    <xf numFmtId="0" fontId="55" fillId="0" borderId="20" xfId="7" applyFont="1" applyBorder="1" applyAlignment="1">
      <alignment horizontal="center" vertical="center" wrapText="1"/>
    </xf>
    <xf numFmtId="165" fontId="41" fillId="0" borderId="0" xfId="0" applyNumberFormat="1" applyFont="1"/>
    <xf numFmtId="0" fontId="53" fillId="0" borderId="0" xfId="0" applyFont="1"/>
    <xf numFmtId="0" fontId="26" fillId="3" borderId="0" xfId="7" applyFont="1" applyFill="1" applyAlignment="1">
      <alignment vertical="center" wrapText="1"/>
    </xf>
    <xf numFmtId="0" fontId="31" fillId="0" borderId="55" xfId="0" applyFont="1" applyBorder="1" applyAlignment="1">
      <alignment horizontal="center" vertical="center"/>
    </xf>
    <xf numFmtId="3" fontId="30" fillId="0" borderId="53" xfId="0" applyNumberFormat="1" applyFont="1" applyBorder="1" applyAlignment="1">
      <alignment horizontal="center"/>
    </xf>
    <xf numFmtId="3" fontId="25" fillId="0" borderId="54" xfId="0" applyNumberFormat="1" applyFont="1" applyBorder="1" applyAlignment="1">
      <alignment horizontal="center"/>
    </xf>
    <xf numFmtId="3" fontId="25" fillId="0" borderId="65" xfId="0" applyNumberFormat="1" applyFont="1" applyBorder="1" applyAlignment="1">
      <alignment horizontal="center"/>
    </xf>
    <xf numFmtId="3" fontId="25" fillId="0" borderId="55" xfId="0" applyNumberFormat="1" applyFont="1" applyBorder="1" applyAlignment="1">
      <alignment horizontal="center"/>
    </xf>
    <xf numFmtId="0" fontId="31" fillId="0" borderId="57" xfId="0" applyFont="1" applyBorder="1" applyAlignment="1">
      <alignment horizontal="center" vertical="center"/>
    </xf>
    <xf numFmtId="3" fontId="30" fillId="0" borderId="39" xfId="0" applyNumberFormat="1" applyFont="1" applyBorder="1" applyAlignment="1">
      <alignment horizontal="center"/>
    </xf>
    <xf numFmtId="3" fontId="25" fillId="0" borderId="1" xfId="0" applyNumberFormat="1" applyFont="1" applyBorder="1" applyAlignment="1">
      <alignment horizontal="center"/>
    </xf>
    <xf numFmtId="3" fontId="25" fillId="0" borderId="2" xfId="0" applyNumberFormat="1" applyFont="1" applyBorder="1" applyAlignment="1">
      <alignment horizontal="center"/>
    </xf>
    <xf numFmtId="3" fontId="25" fillId="0" borderId="57" xfId="0" applyNumberFormat="1" applyFont="1" applyBorder="1" applyAlignment="1">
      <alignment horizontal="center"/>
    </xf>
    <xf numFmtId="0" fontId="31" fillId="0" borderId="60" xfId="0" applyFont="1" applyBorder="1" applyAlignment="1">
      <alignment horizontal="center" vertical="center"/>
    </xf>
    <xf numFmtId="3" fontId="30" fillId="0" borderId="41" xfId="0" applyNumberFormat="1" applyFont="1" applyBorder="1" applyAlignment="1">
      <alignment horizontal="center"/>
    </xf>
    <xf numFmtId="3" fontId="25" fillId="0" borderId="59" xfId="0" applyNumberFormat="1" applyFont="1" applyBorder="1" applyAlignment="1">
      <alignment horizontal="center"/>
    </xf>
    <xf numFmtId="3" fontId="25" fillId="0" borderId="68" xfId="0" applyNumberFormat="1" applyFont="1" applyBorder="1" applyAlignment="1">
      <alignment horizontal="center"/>
    </xf>
    <xf numFmtId="3" fontId="25" fillId="0" borderId="60" xfId="0" applyNumberFormat="1" applyFont="1" applyBorder="1" applyAlignment="1">
      <alignment horizontal="center"/>
    </xf>
    <xf numFmtId="15" fontId="30" fillId="10" borderId="24" xfId="0" applyNumberFormat="1" applyFont="1" applyFill="1" applyBorder="1" applyAlignment="1">
      <alignment horizontal="center" vertical="center"/>
    </xf>
    <xf numFmtId="0" fontId="30" fillId="0" borderId="55" xfId="0" applyFont="1" applyBorder="1" applyAlignment="1">
      <alignment horizontal="center" vertical="center"/>
    </xf>
    <xf numFmtId="0" fontId="30" fillId="0" borderId="57" xfId="0" applyFont="1" applyBorder="1" applyAlignment="1">
      <alignment horizontal="center" vertical="center"/>
    </xf>
    <xf numFmtId="0" fontId="30" fillId="0" borderId="60" xfId="0" applyFont="1" applyBorder="1" applyAlignment="1">
      <alignment horizontal="center" vertical="center"/>
    </xf>
    <xf numFmtId="0" fontId="69" fillId="0" borderId="1" xfId="0" applyFont="1" applyBorder="1" applyAlignment="1">
      <alignment horizontal="center" vertical="center" wrapText="1"/>
    </xf>
    <xf numFmtId="0" fontId="70" fillId="0" borderId="1" xfId="13" applyFont="1" applyBorder="1" applyAlignment="1">
      <alignment horizontal="center" vertical="center"/>
    </xf>
    <xf numFmtId="172" fontId="0" fillId="0" borderId="1" xfId="0" applyNumberFormat="1" applyBorder="1" applyAlignment="1">
      <alignment horizontal="center" vertical="center"/>
    </xf>
    <xf numFmtId="0" fontId="61" fillId="0" borderId="1" xfId="0" applyFont="1" applyBorder="1" applyAlignment="1">
      <alignment wrapText="1"/>
    </xf>
    <xf numFmtId="0" fontId="60" fillId="0" borderId="3" xfId="13" applyFont="1" applyBorder="1" applyAlignment="1">
      <alignment horizontal="center" vertical="center" wrapText="1"/>
    </xf>
    <xf numFmtId="0" fontId="71" fillId="0" borderId="2" xfId="0" applyFont="1" applyBorder="1" applyAlignment="1">
      <alignment horizontal="center" vertical="center" wrapText="1"/>
    </xf>
    <xf numFmtId="0" fontId="71" fillId="0" borderId="1" xfId="0" applyFont="1" applyBorder="1" applyAlignment="1">
      <alignment horizontal="center" vertical="center" wrapText="1"/>
    </xf>
    <xf numFmtId="0" fontId="61" fillId="0" borderId="15" xfId="0" applyFont="1" applyBorder="1" applyAlignment="1">
      <alignment horizontal="center" vertical="center" wrapText="1"/>
    </xf>
    <xf numFmtId="0" fontId="61" fillId="0" borderId="4" xfId="0" applyFont="1" applyBorder="1" applyAlignment="1">
      <alignment horizontal="center" vertical="center" wrapText="1"/>
    </xf>
    <xf numFmtId="0" fontId="61" fillId="0" borderId="4" xfId="0" applyFont="1" applyBorder="1" applyAlignment="1">
      <alignment horizontal="center" vertical="center"/>
    </xf>
    <xf numFmtId="0" fontId="60" fillId="0" borderId="4" xfId="13" applyFont="1" applyBorder="1" applyAlignment="1">
      <alignment horizontal="center" vertical="center" wrapText="1"/>
    </xf>
    <xf numFmtId="0" fontId="61" fillId="0" borderId="17" xfId="0" applyFont="1" applyBorder="1" applyAlignment="1">
      <alignment horizontal="center" vertical="center" wrapText="1"/>
    </xf>
    <xf numFmtId="0" fontId="61" fillId="0" borderId="12" xfId="0" applyFont="1" applyBorder="1" applyAlignment="1">
      <alignment horizontal="center" vertical="center"/>
    </xf>
    <xf numFmtId="0" fontId="61" fillId="0" borderId="1" xfId="13" applyFont="1" applyBorder="1" applyAlignment="1">
      <alignment horizontal="center" vertical="center"/>
    </xf>
    <xf numFmtId="0" fontId="61" fillId="0" borderId="1" xfId="13" applyFont="1" applyBorder="1" applyAlignment="1">
      <alignment horizontal="left" vertical="center" wrapText="1"/>
    </xf>
    <xf numFmtId="172" fontId="70" fillId="0" borderId="1" xfId="13" applyNumberFormat="1" applyFont="1" applyBorder="1" applyAlignment="1">
      <alignment horizontal="center" vertical="center"/>
    </xf>
    <xf numFmtId="0" fontId="70" fillId="0" borderId="1" xfId="13" applyFont="1" applyBorder="1" applyAlignment="1">
      <alignment horizontal="center" vertical="center" wrapText="1"/>
    </xf>
    <xf numFmtId="172" fontId="70" fillId="0" borderId="1" xfId="13" applyNumberFormat="1" applyFont="1" applyBorder="1" applyAlignment="1">
      <alignment horizontal="center" vertical="center" wrapText="1"/>
    </xf>
    <xf numFmtId="0" fontId="61" fillId="0" borderId="1" xfId="13" applyFont="1" applyBorder="1"/>
    <xf numFmtId="0" fontId="61" fillId="0" borderId="4" xfId="13" applyFont="1" applyBorder="1" applyAlignment="1">
      <alignment horizontal="center" vertical="center"/>
    </xf>
    <xf numFmtId="0" fontId="61" fillId="0" borderId="17" xfId="13" applyFont="1" applyBorder="1" applyAlignment="1">
      <alignment horizontal="center" vertical="center"/>
    </xf>
    <xf numFmtId="0" fontId="61" fillId="0" borderId="0" xfId="0" applyFont="1" applyAlignment="1">
      <alignment horizontal="center" vertical="center"/>
    </xf>
    <xf numFmtId="172" fontId="61" fillId="0" borderId="2" xfId="0" applyNumberFormat="1" applyFont="1" applyBorder="1" applyAlignment="1">
      <alignment horizontal="center" vertical="center" wrapText="1"/>
    </xf>
    <xf numFmtId="0" fontId="0" fillId="0" borderId="1" xfId="0" applyBorder="1"/>
    <xf numFmtId="0" fontId="5" fillId="0" borderId="0" xfId="13"/>
    <xf numFmtId="0" fontId="0" fillId="0" borderId="0" xfId="0" applyAlignment="1">
      <alignment vertical="center" wrapText="1"/>
    </xf>
    <xf numFmtId="0" fontId="5" fillId="0" borderId="0" xfId="13" applyAlignment="1">
      <alignment horizontal="center"/>
    </xf>
    <xf numFmtId="0" fontId="5" fillId="0" borderId="0" xfId="13" applyAlignment="1">
      <alignment horizontal="center" vertical="center"/>
    </xf>
    <xf numFmtId="172" fontId="5" fillId="0" borderId="0" xfId="13" applyNumberFormat="1"/>
    <xf numFmtId="172" fontId="5" fillId="0" borderId="0" xfId="13" applyNumberFormat="1" applyAlignment="1">
      <alignment horizontal="center" vertical="center"/>
    </xf>
    <xf numFmtId="0" fontId="13" fillId="13" borderId="0" xfId="0" applyFont="1" applyFill="1"/>
    <xf numFmtId="0" fontId="65" fillId="13" borderId="0" xfId="0" applyFont="1" applyFill="1"/>
    <xf numFmtId="0" fontId="66" fillId="13" borderId="0" xfId="0" applyFont="1" applyFill="1"/>
    <xf numFmtId="0" fontId="13" fillId="13" borderId="0" xfId="0" applyFont="1" applyFill="1" applyAlignment="1"/>
    <xf numFmtId="0" fontId="0" fillId="0" borderId="0" xfId="0" applyFont="1" applyFill="1"/>
    <xf numFmtId="0" fontId="59" fillId="3" borderId="0" xfId="13" applyFont="1" applyFill="1" applyBorder="1" applyAlignment="1">
      <alignment horizontal="center" vertical="center" wrapText="1"/>
    </xf>
    <xf numFmtId="172" fontId="59" fillId="3" borderId="0" xfId="13" applyNumberFormat="1" applyFont="1" applyFill="1" applyBorder="1" applyAlignment="1">
      <alignment horizontal="center" vertical="center" wrapText="1"/>
    </xf>
    <xf numFmtId="168" fontId="53" fillId="0" borderId="87" xfId="0" applyNumberFormat="1" applyFont="1" applyBorder="1"/>
    <xf numFmtId="168" fontId="53" fillId="0" borderId="95" xfId="0" applyNumberFormat="1" applyFont="1" applyBorder="1"/>
    <xf numFmtId="168" fontId="53" fillId="0" borderId="88" xfId="0" applyNumberFormat="1" applyFont="1" applyBorder="1"/>
    <xf numFmtId="168" fontId="53" fillId="0" borderId="89" xfId="0" applyNumberFormat="1" applyFont="1" applyBorder="1"/>
    <xf numFmtId="168" fontId="53" fillId="0" borderId="86" xfId="0" applyNumberFormat="1" applyFont="1" applyBorder="1"/>
    <xf numFmtId="168" fontId="53" fillId="0" borderId="90" xfId="0" applyNumberFormat="1" applyFont="1" applyBorder="1"/>
    <xf numFmtId="168" fontId="53" fillId="0" borderId="85" xfId="0" applyNumberFormat="1" applyFont="1" applyBorder="1"/>
    <xf numFmtId="168" fontId="53" fillId="0" borderId="91" xfId="0" applyNumberFormat="1" applyFont="1" applyBorder="1"/>
    <xf numFmtId="0" fontId="30" fillId="7" borderId="0" xfId="0" applyFont="1" applyFill="1"/>
    <xf numFmtId="0" fontId="62" fillId="0" borderId="0" xfId="0" applyFont="1"/>
    <xf numFmtId="0" fontId="1" fillId="5" borderId="0" xfId="0" applyFont="1" applyFill="1"/>
    <xf numFmtId="0" fontId="41" fillId="0" borderId="13" xfId="0" applyFont="1" applyBorder="1"/>
    <xf numFmtId="0" fontId="41" fillId="0" borderId="9" xfId="0" applyFont="1" applyBorder="1"/>
    <xf numFmtId="0" fontId="1" fillId="3" borderId="0" xfId="0" applyFont="1" applyFill="1" applyBorder="1"/>
    <xf numFmtId="0" fontId="1" fillId="0" borderId="0" xfId="0" applyFont="1" applyBorder="1" applyAlignment="1" applyProtection="1">
      <alignment horizontal="right"/>
      <protection locked="0"/>
    </xf>
    <xf numFmtId="165" fontId="3" fillId="5" borderId="84" xfId="3" applyFont="1" applyFill="1" applyBorder="1" applyProtection="1">
      <protection locked="0"/>
    </xf>
    <xf numFmtId="165" fontId="3" fillId="5" borderId="81" xfId="3" applyFont="1" applyFill="1" applyBorder="1" applyProtection="1">
      <protection locked="0"/>
    </xf>
    <xf numFmtId="165" fontId="3" fillId="5" borderId="82" xfId="3" applyFont="1" applyFill="1" applyBorder="1" applyProtection="1">
      <protection locked="0"/>
    </xf>
    <xf numFmtId="165" fontId="3" fillId="5" borderId="83" xfId="3" applyFont="1" applyFill="1" applyBorder="1" applyProtection="1">
      <protection locked="0"/>
    </xf>
    <xf numFmtId="165" fontId="1" fillId="3" borderId="0" xfId="0" applyNumberFormat="1" applyFont="1" applyFill="1" applyBorder="1"/>
    <xf numFmtId="10" fontId="12" fillId="0" borderId="0" xfId="1" applyNumberFormat="1" applyFont="1"/>
    <xf numFmtId="10" fontId="74" fillId="0" borderId="0" xfId="1" applyNumberFormat="1" applyFont="1" applyFill="1" applyBorder="1" applyAlignment="1">
      <alignment horizontal="right" vertical="center"/>
    </xf>
    <xf numFmtId="10" fontId="1" fillId="0" borderId="0" xfId="1" applyNumberFormat="1" applyFont="1" applyFill="1" applyBorder="1" applyAlignment="1">
      <alignment horizontal="right" vertical="center"/>
    </xf>
    <xf numFmtId="0" fontId="1" fillId="0" borderId="0" xfId="5" applyFont="1" applyFill="1" applyBorder="1" applyAlignment="1">
      <alignment wrapText="1"/>
    </xf>
    <xf numFmtId="0" fontId="0" fillId="0" borderId="0" xfId="0" applyFill="1" applyBorder="1"/>
    <xf numFmtId="0" fontId="3" fillId="0" borderId="0" xfId="5" applyFont="1" applyBorder="1"/>
    <xf numFmtId="165" fontId="25" fillId="0" borderId="0" xfId="7" applyNumberFormat="1" applyFont="1"/>
    <xf numFmtId="0" fontId="13" fillId="6" borderId="0" xfId="0" applyFont="1" applyFill="1"/>
    <xf numFmtId="0" fontId="75" fillId="0" borderId="0" xfId="0" applyFont="1"/>
    <xf numFmtId="165" fontId="6" fillId="13" borderId="0" xfId="0" applyNumberFormat="1" applyFont="1" applyFill="1"/>
    <xf numFmtId="165" fontId="6" fillId="6" borderId="0" xfId="0" applyNumberFormat="1" applyFont="1" applyFill="1"/>
    <xf numFmtId="0" fontId="1" fillId="3" borderId="0" xfId="0" applyFont="1" applyFill="1"/>
    <xf numFmtId="165" fontId="1" fillId="3" borderId="0" xfId="0" applyNumberFormat="1" applyFont="1" applyFill="1"/>
    <xf numFmtId="0" fontId="0" fillId="3" borderId="0" xfId="0" applyFont="1" applyFill="1"/>
    <xf numFmtId="0" fontId="1" fillId="3" borderId="5" xfId="0" applyFont="1" applyFill="1" applyBorder="1"/>
    <xf numFmtId="0" fontId="1" fillId="3" borderId="6" xfId="0" applyFont="1" applyFill="1" applyBorder="1" applyAlignment="1">
      <alignment horizontal="right"/>
    </xf>
    <xf numFmtId="0" fontId="10" fillId="3" borderId="0" xfId="0" applyFont="1" applyFill="1" applyAlignment="1">
      <alignment horizontal="center" vertical="center"/>
    </xf>
    <xf numFmtId="165" fontId="0" fillId="3" borderId="0" xfId="0" applyNumberFormat="1" applyFont="1" applyFill="1"/>
    <xf numFmtId="0" fontId="12" fillId="5" borderId="80" xfId="0" applyFont="1" applyFill="1" applyBorder="1" applyAlignment="1" applyProtection="1">
      <alignment horizontal="center"/>
      <protection locked="0"/>
    </xf>
    <xf numFmtId="0" fontId="1" fillId="3" borderId="0" xfId="0" applyFont="1" applyFill="1" applyAlignment="1">
      <alignment horizontal="center"/>
    </xf>
    <xf numFmtId="0" fontId="12" fillId="3" borderId="8" xfId="4" applyFont="1" applyFill="1" applyBorder="1" applyAlignment="1">
      <alignment horizontal="center" vertical="center"/>
    </xf>
    <xf numFmtId="0" fontId="12" fillId="3" borderId="11" xfId="4" applyFont="1" applyFill="1" applyBorder="1" applyAlignment="1">
      <alignment horizontal="center" vertical="center"/>
    </xf>
    <xf numFmtId="165" fontId="12" fillId="3" borderId="4" xfId="4" applyNumberFormat="1" applyFont="1" applyFill="1" applyBorder="1" applyAlignment="1">
      <alignment horizontal="center" vertical="center"/>
    </xf>
    <xf numFmtId="0" fontId="12" fillId="3" borderId="0" xfId="4" applyFont="1" applyFill="1" applyAlignment="1">
      <alignment horizontal="center" vertical="center" wrapText="1"/>
    </xf>
    <xf numFmtId="0" fontId="0" fillId="3" borderId="0" xfId="0" applyFont="1" applyFill="1" applyAlignment="1">
      <alignment horizontal="center"/>
    </xf>
    <xf numFmtId="165" fontId="12" fillId="3" borderId="12" xfId="4" applyNumberFormat="1" applyFont="1" applyFill="1" applyBorder="1" applyAlignment="1">
      <alignment horizontal="center" vertical="center" wrapText="1"/>
    </xf>
    <xf numFmtId="165" fontId="12" fillId="3" borderId="0" xfId="11" applyFont="1" applyFill="1" applyBorder="1"/>
    <xf numFmtId="165" fontId="12" fillId="3" borderId="13" xfId="4" applyNumberFormat="1" applyFont="1" applyFill="1" applyBorder="1" applyAlignment="1">
      <alignment horizontal="center" vertical="center" wrapText="1"/>
    </xf>
    <xf numFmtId="0" fontId="19" fillId="3" borderId="0" xfId="0" applyFont="1" applyFill="1"/>
    <xf numFmtId="0" fontId="10" fillId="3" borderId="6" xfId="0" applyFont="1" applyFill="1" applyBorder="1"/>
    <xf numFmtId="165" fontId="10" fillId="3" borderId="0" xfId="0" applyNumberFormat="1" applyFont="1" applyFill="1" applyAlignment="1">
      <alignment horizontal="center" vertical="center"/>
    </xf>
    <xf numFmtId="0" fontId="10" fillId="3" borderId="0" xfId="0" applyFont="1" applyFill="1"/>
    <xf numFmtId="0" fontId="53" fillId="0" borderId="0" xfId="0" applyFont="1" applyAlignment="1">
      <alignment horizontal="left" vertical="center"/>
    </xf>
    <xf numFmtId="0" fontId="53" fillId="0" borderId="0" xfId="0" applyFont="1" applyBorder="1"/>
    <xf numFmtId="165" fontId="12" fillId="3" borderId="17" xfId="4" applyNumberFormat="1" applyFont="1" applyFill="1" applyBorder="1" applyAlignment="1">
      <alignment horizontal="center" vertical="center" wrapText="1"/>
    </xf>
    <xf numFmtId="165" fontId="12" fillId="3" borderId="16" xfId="4" applyNumberFormat="1" applyFont="1" applyFill="1" applyBorder="1" applyAlignment="1">
      <alignment horizontal="center" vertical="center" wrapText="1"/>
    </xf>
    <xf numFmtId="0" fontId="12" fillId="3" borderId="11" xfId="4" applyFont="1" applyFill="1" applyBorder="1" applyAlignment="1">
      <alignment horizontal="center" vertical="center" wrapText="1"/>
    </xf>
    <xf numFmtId="0" fontId="12" fillId="3" borderId="8" xfId="4" applyFont="1" applyFill="1" applyBorder="1" applyAlignment="1">
      <alignment horizontal="left" vertical="center"/>
    </xf>
    <xf numFmtId="0" fontId="19" fillId="3" borderId="5" xfId="0" applyFont="1" applyFill="1" applyBorder="1"/>
    <xf numFmtId="165" fontId="1" fillId="3" borderId="7" xfId="0" applyNumberFormat="1" applyFont="1" applyFill="1" applyBorder="1"/>
    <xf numFmtId="165" fontId="12" fillId="3" borderId="4" xfId="4" applyNumberFormat="1" applyFont="1" applyFill="1" applyBorder="1" applyAlignment="1">
      <alignment horizontal="center" vertical="center" wrapText="1"/>
    </xf>
    <xf numFmtId="0" fontId="76" fillId="13" borderId="0" xfId="0" applyFont="1" applyFill="1"/>
    <xf numFmtId="0" fontId="77" fillId="13" borderId="0" xfId="0" applyFont="1" applyFill="1"/>
    <xf numFmtId="0" fontId="76" fillId="6" borderId="0" xfId="0" applyFont="1" applyFill="1"/>
    <xf numFmtId="0" fontId="77" fillId="6" borderId="0" xfId="0" applyFont="1" applyFill="1"/>
    <xf numFmtId="165" fontId="0" fillId="0" borderId="0" xfId="3" applyFont="1" applyFill="1" applyBorder="1" applyAlignment="1" applyProtection="1">
      <protection locked="0"/>
    </xf>
    <xf numFmtId="168" fontId="3" fillId="0" borderId="0" xfId="3" applyNumberFormat="1" applyFont="1" applyFill="1"/>
    <xf numFmtId="173" fontId="0" fillId="0" borderId="0" xfId="0" applyNumberFormat="1" applyFont="1"/>
    <xf numFmtId="0" fontId="0" fillId="0" borderId="0" xfId="0" applyFont="1" applyProtection="1">
      <protection locked="0"/>
    </xf>
    <xf numFmtId="168" fontId="0" fillId="0" borderId="0" xfId="0" applyNumberFormat="1" applyFont="1"/>
    <xf numFmtId="176" fontId="0" fillId="0" borderId="0" xfId="0" applyNumberFormat="1" applyFont="1"/>
    <xf numFmtId="175" fontId="0" fillId="0" borderId="0" xfId="3" applyNumberFormat="1" applyFont="1" applyFill="1" applyBorder="1" applyAlignment="1" applyProtection="1">
      <protection locked="0"/>
    </xf>
    <xf numFmtId="168" fontId="0" fillId="0" borderId="14" xfId="3" applyNumberFormat="1" applyFont="1" applyFill="1" applyBorder="1"/>
    <xf numFmtId="168" fontId="0" fillId="0" borderId="15" xfId="3" applyNumberFormat="1" applyFont="1" applyFill="1" applyBorder="1"/>
    <xf numFmtId="165" fontId="0" fillId="0" borderId="0" xfId="3" applyFont="1" applyFill="1" applyBorder="1"/>
    <xf numFmtId="0" fontId="41" fillId="0" borderId="10" xfId="0" applyFont="1" applyBorder="1"/>
    <xf numFmtId="0" fontId="63" fillId="0" borderId="0" xfId="7" applyFont="1"/>
    <xf numFmtId="0" fontId="57" fillId="0" borderId="0" xfId="0" applyFont="1" applyFill="1" applyBorder="1" applyAlignment="1">
      <alignment horizontal="center" wrapText="1"/>
    </xf>
    <xf numFmtId="0" fontId="78" fillId="0" borderId="0" xfId="7" applyFont="1"/>
    <xf numFmtId="0" fontId="55" fillId="0" borderId="87" xfId="7" applyFont="1" applyBorder="1" applyAlignment="1">
      <alignment horizontal="center" wrapText="1"/>
    </xf>
    <xf numFmtId="0" fontId="55" fillId="0" borderId="95" xfId="7" applyFont="1" applyBorder="1" applyAlignment="1">
      <alignment horizontal="center" wrapText="1"/>
    </xf>
    <xf numFmtId="0" fontId="55" fillId="0" borderId="95" xfId="7" applyFont="1" applyBorder="1" applyAlignment="1">
      <alignment horizontal="center" vertical="center" wrapText="1"/>
    </xf>
    <xf numFmtId="0" fontId="55" fillId="0" borderId="88" xfId="0" applyFont="1" applyFill="1" applyBorder="1" applyAlignment="1">
      <alignment horizontal="center" wrapText="1"/>
    </xf>
    <xf numFmtId="0" fontId="55" fillId="0" borderId="90" xfId="7" applyFont="1" applyBorder="1" applyAlignment="1">
      <alignment horizontal="center"/>
    </xf>
    <xf numFmtId="0" fontId="55" fillId="0" borderId="85" xfId="7" applyFont="1" applyBorder="1" applyAlignment="1">
      <alignment horizontal="center"/>
    </xf>
    <xf numFmtId="0" fontId="55" fillId="0" borderId="85" xfId="7" applyFont="1" applyFill="1" applyBorder="1" applyAlignment="1">
      <alignment horizontal="center"/>
    </xf>
    <xf numFmtId="0" fontId="55" fillId="0" borderId="85" xfId="7" applyFont="1" applyBorder="1"/>
    <xf numFmtId="0" fontId="55" fillId="0" borderId="91" xfId="7" applyFont="1" applyBorder="1" applyAlignment="1">
      <alignment horizontal="center"/>
    </xf>
    <xf numFmtId="0" fontId="55" fillId="0" borderId="0" xfId="7" applyFont="1" applyFill="1" applyBorder="1"/>
    <xf numFmtId="0" fontId="1" fillId="0" borderId="5" xfId="0" applyFont="1" applyBorder="1"/>
    <xf numFmtId="168" fontId="0" fillId="0" borderId="0" xfId="0" applyNumberFormat="1"/>
    <xf numFmtId="165" fontId="0" fillId="0" borderId="0" xfId="0" applyNumberFormat="1"/>
    <xf numFmtId="10" fontId="0" fillId="0" borderId="0" xfId="0" applyNumberFormat="1"/>
    <xf numFmtId="0" fontId="79" fillId="3" borderId="5" xfId="0" applyFont="1" applyFill="1" applyBorder="1"/>
    <xf numFmtId="0" fontId="1" fillId="0" borderId="5" xfId="0" applyFont="1" applyBorder="1" applyAlignment="1">
      <alignment vertic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176" fontId="0" fillId="0" borderId="2" xfId="0" applyNumberFormat="1" applyBorder="1"/>
    <xf numFmtId="176" fontId="0" fillId="0" borderId="3" xfId="0" applyNumberFormat="1" applyBorder="1"/>
    <xf numFmtId="176" fontId="0" fillId="0" borderId="4" xfId="0" applyNumberFormat="1" applyBorder="1"/>
    <xf numFmtId="168" fontId="0" fillId="0" borderId="1" xfId="3" applyNumberFormat="1" applyFont="1" applyBorder="1"/>
    <xf numFmtId="165" fontId="0" fillId="0" borderId="1" xfId="3" applyFont="1" applyBorder="1"/>
    <xf numFmtId="176" fontId="0" fillId="0" borderId="8" xfId="3" applyNumberFormat="1" applyFont="1" applyFill="1" applyBorder="1"/>
    <xf numFmtId="168" fontId="0" fillId="0" borderId="8" xfId="3" applyNumberFormat="1" applyFont="1" applyFill="1" applyBorder="1"/>
    <xf numFmtId="168" fontId="0" fillId="0" borderId="9" xfId="3" applyNumberFormat="1" applyFont="1" applyFill="1" applyBorder="1"/>
    <xf numFmtId="168" fontId="0" fillId="0" borderId="1" xfId="3" applyNumberFormat="1" applyFont="1" applyFill="1" applyBorder="1"/>
    <xf numFmtId="0" fontId="1" fillId="5" borderId="14" xfId="0" applyFont="1" applyFill="1" applyBorder="1"/>
    <xf numFmtId="0" fontId="12" fillId="3" borderId="0" xfId="0" applyFont="1" applyFill="1" applyBorder="1" applyProtection="1">
      <protection locked="0"/>
    </xf>
    <xf numFmtId="165" fontId="1" fillId="0" borderId="0" xfId="0" applyNumberFormat="1" applyFont="1" applyAlignment="1">
      <alignment horizontal="right"/>
    </xf>
    <xf numFmtId="0" fontId="1" fillId="0" borderId="0" xfId="0" applyFont="1" applyAlignment="1">
      <alignment horizontal="right"/>
    </xf>
    <xf numFmtId="0" fontId="0" fillId="5" borderId="8" xfId="0" applyFont="1" applyFill="1" applyBorder="1" applyProtection="1">
      <protection locked="0"/>
    </xf>
    <xf numFmtId="0" fontId="0" fillId="5" borderId="11" xfId="0" applyFont="1" applyFill="1" applyBorder="1" applyProtection="1">
      <protection locked="0"/>
    </xf>
    <xf numFmtId="0" fontId="0" fillId="5" borderId="12" xfId="0" applyFont="1" applyFill="1" applyBorder="1" applyProtection="1">
      <protection locked="0"/>
    </xf>
    <xf numFmtId="0" fontId="0" fillId="5" borderId="9" xfId="0" applyFont="1" applyFill="1" applyBorder="1" applyProtection="1">
      <protection locked="0"/>
    </xf>
    <xf numFmtId="0" fontId="0" fillId="5" borderId="0" xfId="0" applyFont="1" applyFill="1" applyBorder="1" applyProtection="1">
      <protection locked="0"/>
    </xf>
    <xf numFmtId="0" fontId="0" fillId="0" borderId="0" xfId="0" applyFont="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3" xfId="0" applyFont="1" applyBorder="1" applyAlignment="1">
      <alignment horizontal="left" vertical="center" wrapText="1"/>
    </xf>
    <xf numFmtId="0" fontId="1" fillId="0" borderId="4" xfId="0" applyFont="1" applyBorder="1" applyAlignment="1">
      <alignment horizontal="center" vertical="center" wrapText="1"/>
    </xf>
    <xf numFmtId="0" fontId="67" fillId="3" borderId="92" xfId="0" applyFont="1" applyFill="1" applyBorder="1" applyAlignment="1">
      <alignment horizontal="center" vertical="center" wrapText="1"/>
    </xf>
    <xf numFmtId="0" fontId="67" fillId="3" borderId="93" xfId="0" applyFont="1" applyFill="1" applyBorder="1" applyAlignment="1">
      <alignment horizontal="center" vertical="center"/>
    </xf>
    <xf numFmtId="0" fontId="67" fillId="3" borderId="94" xfId="0" applyFont="1" applyFill="1" applyBorder="1" applyAlignment="1">
      <alignment horizontal="center" vertical="center"/>
    </xf>
    <xf numFmtId="165" fontId="0" fillId="5" borderId="12" xfId="0" applyNumberFormat="1" applyFont="1" applyFill="1" applyBorder="1" applyProtection="1">
      <protection locked="0"/>
    </xf>
    <xf numFmtId="165" fontId="0" fillId="0" borderId="17" xfId="0" applyNumberFormat="1" applyFont="1" applyFill="1" applyBorder="1" applyProtection="1">
      <protection locked="0"/>
    </xf>
    <xf numFmtId="0" fontId="0" fillId="5" borderId="76" xfId="0" applyFont="1" applyFill="1" applyBorder="1" applyProtection="1">
      <protection locked="0"/>
    </xf>
    <xf numFmtId="0" fontId="0" fillId="5" borderId="32" xfId="0" applyFont="1" applyFill="1" applyBorder="1" applyProtection="1">
      <protection locked="0"/>
    </xf>
    <xf numFmtId="165" fontId="0" fillId="5" borderId="77" xfId="0" applyNumberFormat="1" applyFont="1" applyFill="1" applyBorder="1" applyProtection="1">
      <protection locked="0"/>
    </xf>
    <xf numFmtId="165" fontId="0" fillId="0" borderId="79" xfId="0" applyNumberFormat="1" applyFont="1" applyFill="1" applyBorder="1" applyProtection="1">
      <protection locked="0"/>
    </xf>
    <xf numFmtId="0" fontId="0" fillId="5" borderId="83" xfId="0" applyFont="1" applyFill="1" applyBorder="1" applyProtection="1">
      <protection locked="0"/>
    </xf>
    <xf numFmtId="0" fontId="0" fillId="5" borderId="84" xfId="0" applyFont="1" applyFill="1" applyBorder="1" applyProtection="1">
      <protection locked="0"/>
    </xf>
    <xf numFmtId="165" fontId="0" fillId="5" borderId="27" xfId="0" applyNumberFormat="1" applyFont="1" applyFill="1" applyBorder="1" applyProtection="1">
      <protection locked="0"/>
    </xf>
    <xf numFmtId="165" fontId="0" fillId="5" borderId="32" xfId="0" applyNumberFormat="1" applyFont="1" applyFill="1" applyBorder="1" applyProtection="1">
      <protection locked="0"/>
    </xf>
    <xf numFmtId="0" fontId="0" fillId="5" borderId="78" xfId="0" applyFont="1" applyFill="1" applyBorder="1" applyProtection="1">
      <protection locked="0"/>
    </xf>
    <xf numFmtId="0" fontId="0" fillId="5" borderId="75" xfId="0" applyFont="1" applyFill="1" applyBorder="1" applyProtection="1">
      <protection locked="0"/>
    </xf>
    <xf numFmtId="165" fontId="0" fillId="5" borderId="75" xfId="0" applyNumberFormat="1" applyFont="1" applyFill="1" applyBorder="1" applyProtection="1">
      <protection locked="0"/>
    </xf>
    <xf numFmtId="165" fontId="0" fillId="0" borderId="35" xfId="0" applyNumberFormat="1" applyFont="1" applyFill="1" applyBorder="1" applyProtection="1">
      <protection locked="0"/>
    </xf>
    <xf numFmtId="168" fontId="67" fillId="0" borderId="2" xfId="0" applyNumberFormat="1" applyFont="1" applyBorder="1"/>
    <xf numFmtId="168" fontId="67" fillId="0" borderId="3" xfId="0" applyNumberFormat="1" applyFont="1" applyBorder="1"/>
    <xf numFmtId="168" fontId="67" fillId="0" borderId="4" xfId="0" applyNumberFormat="1" applyFont="1" applyBorder="1"/>
    <xf numFmtId="165" fontId="0" fillId="0" borderId="0" xfId="0" applyNumberFormat="1" applyFill="1" applyBorder="1"/>
    <xf numFmtId="169" fontId="12" fillId="5" borderId="4" xfId="3" applyNumberFormat="1" applyFont="1" applyFill="1" applyBorder="1" applyAlignment="1" applyProtection="1">
      <alignment horizontal="right"/>
      <protection locked="0"/>
    </xf>
    <xf numFmtId="0" fontId="73" fillId="0" borderId="0" xfId="5" applyFont="1" applyFill="1" applyBorder="1" applyAlignment="1">
      <alignment vertical="center"/>
    </xf>
    <xf numFmtId="0" fontId="1" fillId="0" borderId="0" xfId="5" applyFont="1" applyFill="1" applyBorder="1" applyAlignment="1">
      <alignment horizontal="left" vertical="center" wrapText="1"/>
    </xf>
    <xf numFmtId="0" fontId="73" fillId="0" borderId="0" xfId="5" applyFont="1" applyFill="1" applyBorder="1" applyAlignment="1">
      <alignment horizontal="right" vertical="center"/>
    </xf>
    <xf numFmtId="0" fontId="3" fillId="0" borderId="0" xfId="5" applyFont="1" applyFill="1" applyBorder="1" applyAlignment="1">
      <alignment vertical="center"/>
    </xf>
    <xf numFmtId="169" fontId="74" fillId="0" borderId="0" xfId="1" applyNumberFormat="1" applyFont="1" applyFill="1" applyBorder="1" applyAlignment="1">
      <alignment horizontal="right" vertical="center"/>
    </xf>
    <xf numFmtId="0" fontId="3" fillId="0" borderId="0" xfId="5" applyFont="1" applyFill="1" applyBorder="1" applyAlignment="1">
      <alignment horizontal="left"/>
    </xf>
    <xf numFmtId="0" fontId="1" fillId="0" borderId="0" xfId="5" applyFont="1" applyFill="1" applyBorder="1" applyAlignment="1">
      <alignment horizontal="left" vertical="center"/>
    </xf>
    <xf numFmtId="9" fontId="0" fillId="0" borderId="13" xfId="1" applyFont="1" applyFill="1" applyBorder="1"/>
    <xf numFmtId="0" fontId="16" fillId="0" borderId="0" xfId="0" applyFont="1" applyBorder="1"/>
    <xf numFmtId="0" fontId="1" fillId="0" borderId="0" xfId="0" applyFont="1" applyBorder="1" applyAlignment="1">
      <alignment horizontal="right"/>
    </xf>
    <xf numFmtId="0" fontId="2" fillId="0" borderId="0" xfId="0" applyFont="1" applyAlignment="1">
      <alignment horizontal="left"/>
    </xf>
    <xf numFmtId="0" fontId="1" fillId="0" borderId="0" xfId="0" applyFont="1" applyAlignment="1">
      <alignment horizontal="left"/>
    </xf>
    <xf numFmtId="0" fontId="43" fillId="10" borderId="0" xfId="0" applyFont="1" applyFill="1" applyBorder="1" applyAlignment="1">
      <alignment horizontal="center" vertical="center"/>
    </xf>
    <xf numFmtId="168" fontId="3" fillId="0" borderId="81" xfId="3" applyNumberFormat="1" applyFont="1" applyFill="1" applyBorder="1" applyProtection="1">
      <protection locked="0"/>
    </xf>
    <xf numFmtId="168" fontId="3" fillId="0" borderId="83" xfId="3" applyNumberFormat="1" applyFont="1" applyFill="1" applyBorder="1" applyProtection="1">
      <protection locked="0"/>
    </xf>
    <xf numFmtId="168" fontId="3" fillId="0" borderId="78" xfId="3" applyNumberFormat="1" applyFont="1" applyFill="1" applyBorder="1" applyProtection="1">
      <protection locked="0"/>
    </xf>
    <xf numFmtId="165" fontId="3" fillId="0" borderId="31" xfId="3" applyFont="1" applyFill="1" applyBorder="1" applyProtection="1">
      <protection locked="0"/>
    </xf>
    <xf numFmtId="165" fontId="3" fillId="0" borderId="27" xfId="3" applyFont="1" applyFill="1" applyBorder="1" applyProtection="1">
      <protection locked="0"/>
    </xf>
    <xf numFmtId="165" fontId="3" fillId="0" borderId="82" xfId="3" applyFont="1" applyFill="1" applyBorder="1" applyProtection="1">
      <protection locked="0"/>
    </xf>
    <xf numFmtId="165" fontId="3" fillId="0" borderId="84" xfId="3" applyFont="1" applyFill="1" applyBorder="1" applyProtection="1">
      <protection locked="0"/>
    </xf>
    <xf numFmtId="0" fontId="1" fillId="0" borderId="6" xfId="0" applyFont="1" applyFill="1" applyBorder="1" applyAlignment="1">
      <alignment horizontal="right"/>
    </xf>
    <xf numFmtId="0" fontId="1" fillId="0" borderId="0" xfId="0" applyFont="1" applyFill="1"/>
    <xf numFmtId="0" fontId="12" fillId="0" borderId="11" xfId="4" applyFont="1" applyFill="1" applyBorder="1" applyAlignment="1">
      <alignment horizontal="center" vertical="center" wrapText="1"/>
    </xf>
    <xf numFmtId="0" fontId="12" fillId="0" borderId="11" xfId="4" applyFont="1" applyFill="1" applyBorder="1" applyAlignment="1">
      <alignment horizontal="center" vertical="center"/>
    </xf>
    <xf numFmtId="0" fontId="3" fillId="0" borderId="0" xfId="0" applyFont="1" applyAlignment="1">
      <alignment horizontal="center"/>
    </xf>
    <xf numFmtId="0" fontId="12" fillId="0" borderId="103" xfId="0" applyFont="1" applyBorder="1" applyAlignment="1">
      <alignment horizontal="center"/>
    </xf>
    <xf numFmtId="0" fontId="12" fillId="0" borderId="104" xfId="0" applyFont="1" applyBorder="1" applyAlignment="1">
      <alignment horizontal="center" vertical="center" wrapText="1"/>
    </xf>
    <xf numFmtId="0" fontId="12" fillId="0" borderId="0" xfId="0" applyFont="1" applyAlignment="1">
      <alignment horizontal="center" vertical="center" wrapText="1"/>
    </xf>
    <xf numFmtId="0" fontId="3" fillId="0" borderId="0" xfId="0" applyFont="1" applyAlignment="1">
      <alignment wrapText="1"/>
    </xf>
    <xf numFmtId="168" fontId="30" fillId="0" borderId="105" xfId="3" applyNumberFormat="1" applyFont="1" applyFill="1" applyBorder="1"/>
    <xf numFmtId="168" fontId="30" fillId="0" borderId="0" xfId="3" applyNumberFormat="1" applyFont="1" applyFill="1" applyBorder="1"/>
    <xf numFmtId="0" fontId="3" fillId="0" borderId="14" xfId="0" applyFont="1" applyBorder="1"/>
    <xf numFmtId="168" fontId="30" fillId="0" borderId="106" xfId="3" applyNumberFormat="1" applyFont="1" applyFill="1" applyBorder="1"/>
    <xf numFmtId="168" fontId="30" fillId="0" borderId="14" xfId="3" applyNumberFormat="1" applyFont="1" applyFill="1" applyBorder="1"/>
    <xf numFmtId="168" fontId="3" fillId="0" borderId="14" xfId="3" applyNumberFormat="1" applyFont="1" applyFill="1" applyBorder="1"/>
    <xf numFmtId="0" fontId="3" fillId="0" borderId="11" xfId="0" quotePrefix="1" applyFont="1" applyBorder="1"/>
    <xf numFmtId="168" fontId="30" fillId="0" borderId="107" xfId="3" applyNumberFormat="1" applyFont="1" applyFill="1" applyBorder="1"/>
    <xf numFmtId="0" fontId="3" fillId="0" borderId="11" xfId="0" applyFont="1" applyBorder="1"/>
    <xf numFmtId="168" fontId="30" fillId="0" borderId="11" xfId="3" applyNumberFormat="1" applyFont="1" applyFill="1" applyBorder="1"/>
    <xf numFmtId="168" fontId="3" fillId="0" borderId="11" xfId="3" applyNumberFormat="1" applyFont="1" applyFill="1" applyBorder="1"/>
    <xf numFmtId="0" fontId="3" fillId="0" borderId="0" xfId="0" quotePrefix="1" applyFont="1"/>
    <xf numFmtId="0" fontId="3" fillId="0" borderId="3" xfId="0" applyFont="1" applyBorder="1"/>
    <xf numFmtId="0" fontId="12" fillId="0" borderId="2" xfId="0" applyFont="1" applyBorder="1"/>
    <xf numFmtId="10" fontId="3" fillId="5" borderId="4" xfId="0" applyNumberFormat="1" applyFont="1" applyFill="1" applyBorder="1"/>
    <xf numFmtId="164" fontId="41" fillId="0" borderId="0" xfId="0" applyNumberFormat="1" applyFont="1"/>
    <xf numFmtId="164" fontId="25" fillId="5" borderId="0" xfId="0" applyNumberFormat="1" applyFont="1" applyFill="1"/>
    <xf numFmtId="0" fontId="43" fillId="10" borderId="0" xfId="5" applyFont="1" applyFill="1" applyBorder="1" applyAlignment="1">
      <alignment horizontal="right" wrapText="1"/>
    </xf>
    <xf numFmtId="0" fontId="1" fillId="0" borderId="0" xfId="0" applyFont="1" applyAlignment="1">
      <alignment horizontal="center"/>
    </xf>
    <xf numFmtId="9" fontId="1" fillId="0" borderId="0" xfId="1" applyFont="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xf numFmtId="0" fontId="1" fillId="0" borderId="7" xfId="0" applyFont="1" applyBorder="1"/>
    <xf numFmtId="0" fontId="10" fillId="0" borderId="2" xfId="0" applyFont="1" applyBorder="1" applyAlignment="1">
      <alignment horizontal="center"/>
    </xf>
    <xf numFmtId="0" fontId="80" fillId="13" borderId="0" xfId="0" applyFont="1" applyFill="1"/>
    <xf numFmtId="0" fontId="1" fillId="5" borderId="4" xfId="0" applyFont="1" applyFill="1" applyBorder="1" applyAlignment="1">
      <alignment horizontal="center"/>
    </xf>
    <xf numFmtId="0" fontId="0" fillId="0" borderId="10" xfId="0" applyBorder="1"/>
    <xf numFmtId="0" fontId="12" fillId="0" borderId="5" xfId="0" applyFont="1" applyBorder="1" applyAlignment="1">
      <alignment horizontal="center" vertical="center" wrapText="1"/>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0" fillId="0" borderId="8" xfId="0" applyFont="1" applyBorder="1"/>
    <xf numFmtId="0" fontId="0" fillId="0" borderId="11" xfId="0" applyFont="1" applyBorder="1"/>
    <xf numFmtId="0" fontId="0" fillId="0" borderId="9" xfId="0" applyFont="1" applyBorder="1"/>
    <xf numFmtId="0" fontId="0" fillId="0" borderId="10" xfId="0" applyFont="1" applyBorder="1"/>
    <xf numFmtId="0" fontId="0" fillId="0" borderId="14" xfId="0" applyFont="1" applyBorder="1"/>
    <xf numFmtId="0" fontId="1" fillId="5" borderId="8" xfId="0" applyFont="1" applyFill="1" applyBorder="1"/>
    <xf numFmtId="168" fontId="0" fillId="5" borderId="11" xfId="0" applyNumberFormat="1" applyFill="1" applyBorder="1"/>
    <xf numFmtId="168" fontId="0" fillId="5" borderId="12" xfId="0" applyNumberFormat="1" applyFill="1" applyBorder="1"/>
    <xf numFmtId="168" fontId="0" fillId="0" borderId="0" xfId="0" applyNumberFormat="1" applyBorder="1"/>
    <xf numFmtId="168" fontId="0" fillId="0" borderId="14" xfId="0" applyNumberFormat="1" applyBorder="1"/>
    <xf numFmtId="168" fontId="0" fillId="0" borderId="15" xfId="0" applyNumberFormat="1" applyBorder="1"/>
    <xf numFmtId="168" fontId="0" fillId="0" borderId="13" xfId="0" applyNumberFormat="1" applyBorder="1"/>
    <xf numFmtId="168" fontId="1" fillId="0" borderId="0" xfId="0" applyNumberFormat="1" applyFont="1" applyBorder="1"/>
    <xf numFmtId="3" fontId="0" fillId="0" borderId="0" xfId="0" applyNumberFormat="1" applyFont="1"/>
    <xf numFmtId="0" fontId="0" fillId="0" borderId="3" xfId="0" applyFont="1" applyBorder="1"/>
    <xf numFmtId="0" fontId="12" fillId="10" borderId="11" xfId="0" applyFont="1" applyFill="1" applyBorder="1" applyAlignment="1">
      <alignment horizontal="left" vertical="center"/>
    </xf>
    <xf numFmtId="171" fontId="12" fillId="10" borderId="12" xfId="8" applyNumberFormat="1" applyFont="1" applyFill="1" applyBorder="1" applyAlignment="1">
      <alignment horizontal="right" vertical="center" wrapText="1"/>
    </xf>
    <xf numFmtId="0" fontId="12" fillId="10" borderId="14" xfId="0" applyFont="1" applyFill="1" applyBorder="1" applyAlignment="1">
      <alignment horizontal="left" vertical="center"/>
    </xf>
    <xf numFmtId="0" fontId="12" fillId="10" borderId="15" xfId="8" applyNumberFormat="1" applyFont="1" applyFill="1" applyBorder="1" applyAlignment="1">
      <alignment horizontal="right" vertical="center"/>
    </xf>
    <xf numFmtId="0" fontId="62" fillId="0" borderId="0" xfId="0" applyFont="1" applyBorder="1" applyAlignment="1">
      <alignment horizontal="center" vertical="center" wrapText="1"/>
    </xf>
    <xf numFmtId="0" fontId="62" fillId="0" borderId="0" xfId="0" applyFont="1" applyBorder="1" applyAlignment="1">
      <alignment horizontal="center" vertical="center"/>
    </xf>
    <xf numFmtId="2" fontId="62" fillId="0" borderId="0" xfId="0" applyNumberFormat="1" applyFont="1" applyBorder="1"/>
    <xf numFmtId="2" fontId="62" fillId="0" borderId="0" xfId="0" applyNumberFormat="1" applyFont="1"/>
    <xf numFmtId="0" fontId="12" fillId="0" borderId="2" xfId="0" applyFont="1" applyFill="1" applyBorder="1" applyAlignment="1">
      <alignment horizontal="left" vertical="center"/>
    </xf>
    <xf numFmtId="0" fontId="12" fillId="0" borderId="3" xfId="0" applyFont="1" applyFill="1" applyBorder="1" applyAlignment="1">
      <alignment horizontal="left" vertical="center"/>
    </xf>
    <xf numFmtId="0" fontId="12" fillId="0" borderId="3" xfId="0" applyFont="1" applyFill="1" applyBorder="1" applyAlignment="1">
      <alignment horizontal="center" vertical="center"/>
    </xf>
    <xf numFmtId="3" fontId="12" fillId="0" borderId="3" xfId="0" applyNumberFormat="1" applyFont="1" applyFill="1" applyBorder="1" applyAlignment="1">
      <alignment horizontal="center" vertical="center" wrapText="1"/>
    </xf>
    <xf numFmtId="9" fontId="12" fillId="0" borderId="3" xfId="0" applyNumberFormat="1" applyFont="1" applyFill="1" applyBorder="1" applyAlignment="1">
      <alignment horizontal="center" vertical="center" wrapText="1"/>
    </xf>
    <xf numFmtId="0" fontId="12" fillId="0" borderId="4" xfId="8" applyNumberFormat="1" applyFont="1" applyFill="1" applyBorder="1" applyAlignment="1">
      <alignment horizontal="center" vertical="center"/>
    </xf>
    <xf numFmtId="9" fontId="56" fillId="0" borderId="0" xfId="0" applyNumberFormat="1" applyFont="1"/>
    <xf numFmtId="0" fontId="3" fillId="10" borderId="11" xfId="0" applyFont="1" applyFill="1" applyBorder="1"/>
    <xf numFmtId="176" fontId="0" fillId="5" borderId="11" xfId="0" applyNumberFormat="1" applyFont="1" applyFill="1" applyBorder="1" applyProtection="1">
      <protection locked="0"/>
    </xf>
    <xf numFmtId="9" fontId="0" fillId="5" borderId="11" xfId="0" applyNumberFormat="1" applyFont="1" applyFill="1" applyBorder="1" applyProtection="1">
      <protection locked="0"/>
    </xf>
    <xf numFmtId="168" fontId="0" fillId="5" borderId="11" xfId="0" applyNumberFormat="1" applyFont="1" applyFill="1" applyBorder="1" applyAlignment="1" applyProtection="1">
      <alignment horizontal="right"/>
      <protection locked="0"/>
    </xf>
    <xf numFmtId="165" fontId="3" fillId="12" borderId="12" xfId="8" applyNumberFormat="1" applyFont="1" applyFill="1" applyBorder="1"/>
    <xf numFmtId="0" fontId="67" fillId="0" borderId="0" xfId="0" applyFont="1" applyAlignment="1">
      <alignment horizontal="left"/>
    </xf>
    <xf numFmtId="0" fontId="3" fillId="10" borderId="0" xfId="0" applyFont="1" applyFill="1" applyBorder="1"/>
    <xf numFmtId="176" fontId="0" fillId="5" borderId="32" xfId="0" applyNumberFormat="1" applyFont="1" applyFill="1" applyBorder="1" applyProtection="1">
      <protection locked="0"/>
    </xf>
    <xf numFmtId="9" fontId="0" fillId="5" borderId="32" xfId="0" applyNumberFormat="1" applyFont="1" applyFill="1" applyBorder="1" applyProtection="1">
      <protection locked="0"/>
    </xf>
    <xf numFmtId="168" fontId="0" fillId="5" borderId="32" xfId="0" applyNumberFormat="1" applyFont="1" applyFill="1" applyBorder="1" applyAlignment="1" applyProtection="1">
      <alignment horizontal="right"/>
      <protection locked="0"/>
    </xf>
    <xf numFmtId="165" fontId="3" fillId="12" borderId="13" xfId="8" applyNumberFormat="1" applyFont="1" applyFill="1" applyBorder="1"/>
    <xf numFmtId="0" fontId="67" fillId="0" borderId="0" xfId="0" applyFont="1" applyBorder="1" applyAlignment="1">
      <alignment horizontal="left"/>
    </xf>
    <xf numFmtId="3" fontId="53" fillId="0" borderId="0" xfId="0" applyNumberFormat="1" applyFont="1" applyBorder="1"/>
    <xf numFmtId="168" fontId="0" fillId="5" borderId="32" xfId="0" applyNumberFormat="1" applyFont="1" applyFill="1" applyBorder="1" applyProtection="1">
      <protection locked="0"/>
    </xf>
    <xf numFmtId="0" fontId="67" fillId="0" borderId="0" xfId="0" applyFont="1" applyBorder="1"/>
    <xf numFmtId="10" fontId="53" fillId="0" borderId="0" xfId="0" applyNumberFormat="1" applyFont="1"/>
    <xf numFmtId="0" fontId="67" fillId="0" borderId="0" xfId="0" applyFont="1"/>
    <xf numFmtId="0" fontId="12" fillId="10" borderId="14" xfId="0" applyFont="1" applyFill="1" applyBorder="1"/>
    <xf numFmtId="0" fontId="3" fillId="10" borderId="2" xfId="0" applyFont="1" applyFill="1" applyBorder="1"/>
    <xf numFmtId="0" fontId="3" fillId="10" borderId="3" xfId="0" applyFont="1" applyFill="1" applyBorder="1"/>
    <xf numFmtId="3" fontId="12" fillId="10" borderId="3" xfId="0" applyNumberFormat="1" applyFont="1" applyFill="1" applyBorder="1"/>
    <xf numFmtId="9" fontId="12" fillId="10" borderId="3" xfId="0" applyNumberFormat="1" applyFont="1" applyFill="1" applyBorder="1"/>
    <xf numFmtId="165" fontId="12" fillId="10" borderId="3" xfId="0" applyNumberFormat="1" applyFont="1" applyFill="1" applyBorder="1"/>
    <xf numFmtId="165" fontId="12" fillId="12" borderId="4" xfId="8" applyNumberFormat="1" applyFont="1" applyFill="1" applyBorder="1"/>
    <xf numFmtId="168" fontId="62" fillId="0" borderId="0" xfId="0" applyNumberFormat="1" applyFont="1"/>
    <xf numFmtId="0" fontId="12" fillId="0" borderId="0" xfId="0" applyFont="1" applyFill="1" applyBorder="1" applyAlignment="1">
      <alignment horizontal="left" vertical="top" wrapText="1"/>
    </xf>
    <xf numFmtId="0" fontId="12" fillId="0" borderId="0" xfId="0" applyFont="1" applyFill="1" applyBorder="1"/>
    <xf numFmtId="0" fontId="3" fillId="0" borderId="0" xfId="0" applyFont="1" applyFill="1" applyBorder="1"/>
    <xf numFmtId="3" fontId="12" fillId="0" borderId="0" xfId="0" applyNumberFormat="1" applyFont="1" applyFill="1" applyBorder="1"/>
    <xf numFmtId="9" fontId="12" fillId="0" borderId="0" xfId="0" applyNumberFormat="1" applyFont="1" applyFill="1" applyBorder="1"/>
    <xf numFmtId="165" fontId="12" fillId="0" borderId="0" xfId="0" applyNumberFormat="1" applyFont="1" applyFill="1" applyBorder="1"/>
    <xf numFmtId="165" fontId="12" fillId="12" borderId="0" xfId="8" applyNumberFormat="1" applyFont="1" applyFill="1" applyBorder="1"/>
    <xf numFmtId="165" fontId="0" fillId="5" borderId="11" xfId="0" applyNumberFormat="1" applyFont="1" applyFill="1" applyBorder="1" applyProtection="1">
      <protection locked="0"/>
    </xf>
    <xf numFmtId="0" fontId="12" fillId="0" borderId="3" xfId="0" applyFont="1" applyBorder="1"/>
    <xf numFmtId="0" fontId="12" fillId="0" borderId="4" xfId="0" applyFont="1" applyBorder="1"/>
    <xf numFmtId="176" fontId="0" fillId="5" borderId="8" xfId="0" applyNumberFormat="1" applyFont="1" applyFill="1" applyBorder="1" applyProtection="1">
      <protection locked="0"/>
    </xf>
    <xf numFmtId="176" fontId="0" fillId="5" borderId="76" xfId="0" applyNumberFormat="1" applyFont="1" applyFill="1" applyBorder="1" applyProtection="1">
      <protection locked="0"/>
    </xf>
    <xf numFmtId="0" fontId="0" fillId="5" borderId="77" xfId="0" applyFont="1" applyFill="1" applyBorder="1" applyProtection="1">
      <protection locked="0"/>
    </xf>
    <xf numFmtId="0" fontId="0" fillId="5" borderId="26" xfId="0" applyFont="1" applyFill="1" applyBorder="1" applyProtection="1">
      <protection locked="0"/>
    </xf>
    <xf numFmtId="9" fontId="0" fillId="0" borderId="0" xfId="0" applyNumberFormat="1" applyFont="1"/>
    <xf numFmtId="9" fontId="0" fillId="0" borderId="0" xfId="0" applyNumberFormat="1" applyFont="1" applyAlignment="1">
      <alignment horizontal="center"/>
    </xf>
    <xf numFmtId="0" fontId="12" fillId="0" borderId="5" xfId="0" applyFont="1" applyBorder="1"/>
    <xf numFmtId="3" fontId="13" fillId="13" borderId="0" xfId="0" applyNumberFormat="1" applyFont="1" applyFill="1"/>
    <xf numFmtId="9" fontId="13" fillId="13" borderId="0" xfId="0" applyNumberFormat="1" applyFont="1" applyFill="1"/>
    <xf numFmtId="9" fontId="13" fillId="13" borderId="0" xfId="0" applyNumberFormat="1" applyFont="1" applyFill="1" applyAlignment="1">
      <alignment horizontal="center"/>
    </xf>
    <xf numFmtId="2" fontId="13" fillId="13" borderId="0" xfId="0" applyNumberFormat="1" applyFont="1" applyFill="1"/>
    <xf numFmtId="3" fontId="13" fillId="6" borderId="0" xfId="0" applyNumberFormat="1" applyFont="1" applyFill="1"/>
    <xf numFmtId="9" fontId="13" fillId="6" borderId="0" xfId="0" applyNumberFormat="1" applyFont="1" applyFill="1"/>
    <xf numFmtId="9" fontId="13" fillId="6" borderId="0" xfId="0" applyNumberFormat="1" applyFont="1" applyFill="1" applyAlignment="1">
      <alignment horizontal="center"/>
    </xf>
    <xf numFmtId="2" fontId="13" fillId="6" borderId="0" xfId="0" applyNumberFormat="1" applyFont="1" applyFill="1"/>
    <xf numFmtId="168" fontId="0" fillId="0" borderId="11" xfId="0" applyNumberFormat="1" applyBorder="1"/>
    <xf numFmtId="168" fontId="0" fillId="0" borderId="12" xfId="0" applyNumberFormat="1" applyBorder="1"/>
    <xf numFmtId="168" fontId="1" fillId="0" borderId="14" xfId="0" applyNumberFormat="1" applyFont="1" applyBorder="1"/>
    <xf numFmtId="168" fontId="1" fillId="0" borderId="6" xfId="0" applyNumberFormat="1" applyFont="1" applyBorder="1"/>
    <xf numFmtId="168" fontId="1" fillId="0" borderId="7" xfId="0" applyNumberFormat="1" applyFont="1" applyBorder="1"/>
    <xf numFmtId="168" fontId="1" fillId="0" borderId="15" xfId="0" applyNumberFormat="1" applyFont="1" applyBorder="1"/>
    <xf numFmtId="168" fontId="0" fillId="0" borderId="6" xfId="0" applyNumberFormat="1" applyBorder="1"/>
    <xf numFmtId="168" fontId="0" fillId="0" borderId="7" xfId="0" applyNumberFormat="1" applyBorder="1"/>
    <xf numFmtId="168" fontId="1" fillId="0" borderId="0" xfId="0" applyNumberFormat="1" applyFont="1"/>
    <xf numFmtId="168" fontId="0" fillId="5" borderId="0" xfId="0" applyNumberFormat="1" applyFill="1"/>
    <xf numFmtId="168" fontId="1" fillId="5" borderId="14" xfId="0" applyNumberFormat="1" applyFont="1" applyFill="1" applyBorder="1"/>
    <xf numFmtId="168" fontId="1" fillId="5" borderId="0" xfId="0" applyNumberFormat="1" applyFont="1" applyFill="1"/>
    <xf numFmtId="168" fontId="1" fillId="0" borderId="5" xfId="0" applyNumberFormat="1" applyFont="1" applyBorder="1"/>
    <xf numFmtId="0" fontId="1" fillId="0" borderId="9" xfId="0" applyFont="1" applyBorder="1" applyAlignment="1">
      <alignment horizontal="left"/>
    </xf>
    <xf numFmtId="0" fontId="82" fillId="0" borderId="0" xfId="16" applyFont="1"/>
    <xf numFmtId="0" fontId="84" fillId="13" borderId="0" xfId="16" applyFont="1" applyFill="1" applyAlignment="1">
      <alignment vertical="center"/>
    </xf>
    <xf numFmtId="0" fontId="5" fillId="3" borderId="0" xfId="17" applyFill="1"/>
    <xf numFmtId="0" fontId="10" fillId="0" borderId="0" xfId="0" applyFont="1" applyAlignment="1">
      <alignment horizontal="right"/>
    </xf>
    <xf numFmtId="0" fontId="10" fillId="0" borderId="0" xfId="0" applyFont="1"/>
    <xf numFmtId="0" fontId="5" fillId="3" borderId="0" xfId="17" applyFill="1" applyAlignment="1">
      <alignment horizontal="left"/>
    </xf>
    <xf numFmtId="17" fontId="10" fillId="3" borderId="0" xfId="17" applyNumberFormat="1" applyFont="1" applyFill="1" applyAlignment="1">
      <alignment horizontal="center"/>
    </xf>
    <xf numFmtId="0" fontId="10" fillId="3" borderId="0" xfId="17" applyFont="1" applyFill="1"/>
    <xf numFmtId="0" fontId="10" fillId="3" borderId="0" xfId="0" applyFont="1" applyFill="1" applyAlignment="1">
      <alignment horizontal="left" vertical="center" wrapText="1"/>
    </xf>
    <xf numFmtId="0" fontId="86" fillId="0" borderId="0" xfId="0" applyFont="1"/>
    <xf numFmtId="0" fontId="12" fillId="0" borderId="6" xfId="0" applyFont="1" applyBorder="1"/>
    <xf numFmtId="0" fontId="0" fillId="0" borderId="6" xfId="0" applyBorder="1"/>
    <xf numFmtId="0" fontId="0" fillId="0" borderId="7" xfId="0" applyBorder="1"/>
    <xf numFmtId="0" fontId="12" fillId="0" borderId="8" xfId="0" applyFont="1" applyBorder="1"/>
    <xf numFmtId="0" fontId="0" fillId="0" borderId="12" xfId="0" applyFont="1" applyBorder="1"/>
    <xf numFmtId="0" fontId="12" fillId="0" borderId="9" xfId="0" applyFont="1" applyBorder="1" applyAlignment="1">
      <alignment wrapText="1"/>
    </xf>
    <xf numFmtId="3" fontId="0" fillId="0" borderId="8" xfId="0" applyNumberFormat="1" applyFont="1" applyBorder="1"/>
    <xf numFmtId="0" fontId="12" fillId="3" borderId="9" xfId="0" applyFont="1" applyFill="1" applyBorder="1"/>
    <xf numFmtId="169" fontId="0" fillId="3" borderId="10" xfId="1" applyNumberFormat="1" applyFont="1" applyFill="1" applyBorder="1"/>
    <xf numFmtId="0" fontId="12" fillId="3" borderId="10" xfId="0" applyFont="1" applyFill="1" applyBorder="1"/>
    <xf numFmtId="3" fontId="0" fillId="0" borderId="10" xfId="0" applyNumberFormat="1" applyFont="1" applyBorder="1"/>
    <xf numFmtId="3" fontId="0" fillId="0" borderId="14" xfId="0" applyNumberFormat="1" applyFont="1" applyBorder="1"/>
    <xf numFmtId="3" fontId="0" fillId="0" borderId="15" xfId="0" applyNumberFormat="1" applyFont="1" applyBorder="1"/>
    <xf numFmtId="0" fontId="18" fillId="0" borderId="11" xfId="0" applyFont="1" applyBorder="1"/>
    <xf numFmtId="0" fontId="18" fillId="0" borderId="12" xfId="0" applyFont="1" applyBorder="1"/>
    <xf numFmtId="0" fontId="12" fillId="0" borderId="9" xfId="0" applyFont="1" applyBorder="1"/>
    <xf numFmtId="0" fontId="18" fillId="0" borderId="0" xfId="0" applyFont="1" applyBorder="1"/>
    <xf numFmtId="0" fontId="18" fillId="0" borderId="13" xfId="0" applyFont="1" applyBorder="1"/>
    <xf numFmtId="168" fontId="0" fillId="15" borderId="82" xfId="15" applyNumberFormat="1" applyFont="1" applyBorder="1" applyProtection="1">
      <protection locked="0"/>
    </xf>
    <xf numFmtId="168" fontId="0" fillId="15" borderId="31" xfId="15" applyNumberFormat="1" applyFont="1" applyBorder="1" applyProtection="1">
      <protection locked="0"/>
    </xf>
    <xf numFmtId="168" fontId="0" fillId="15" borderId="84" xfId="15" applyNumberFormat="1" applyFont="1" applyBorder="1" applyProtection="1">
      <protection locked="0"/>
    </xf>
    <xf numFmtId="168" fontId="0" fillId="15" borderId="27" xfId="15" applyNumberFormat="1" applyFont="1" applyBorder="1" applyProtection="1">
      <protection locked="0"/>
    </xf>
    <xf numFmtId="0" fontId="12" fillId="0" borderId="10" xfId="0" applyFont="1" applyBorder="1"/>
    <xf numFmtId="168" fontId="0" fillId="15" borderId="75" xfId="15" applyNumberFormat="1" applyFont="1" applyBorder="1" applyProtection="1">
      <protection locked="0"/>
    </xf>
    <xf numFmtId="168" fontId="0" fillId="15" borderId="26" xfId="15" applyNumberFormat="1" applyFont="1" applyBorder="1" applyProtection="1">
      <protection locked="0"/>
    </xf>
    <xf numFmtId="0" fontId="0" fillId="0" borderId="0" xfId="0" applyFont="1" applyAlignment="1">
      <alignment wrapText="1"/>
    </xf>
    <xf numFmtId="0" fontId="1" fillId="5" borderId="80" xfId="0" applyFont="1" applyFill="1" applyBorder="1" applyAlignment="1" applyProtection="1">
      <alignment horizontal="center"/>
      <protection locked="0"/>
    </xf>
    <xf numFmtId="0" fontId="1" fillId="0" borderId="2" xfId="0" applyFont="1" applyBorder="1" applyAlignment="1">
      <alignment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0" fillId="0" borderId="0" xfId="0" applyFont="1" applyAlignment="1">
      <alignment wrapText="1"/>
    </xf>
    <xf numFmtId="9" fontId="1" fillId="0" borderId="0" xfId="0" applyNumberFormat="1" applyFont="1" applyAlignment="1">
      <alignment horizontal="center" vertical="center"/>
    </xf>
    <xf numFmtId="168" fontId="0" fillId="5" borderId="82" xfId="3" applyNumberFormat="1" applyFont="1" applyFill="1" applyBorder="1" applyProtection="1">
      <protection locked="0"/>
    </xf>
    <xf numFmtId="168" fontId="0" fillId="3" borderId="82" xfId="3" applyNumberFormat="1" applyFont="1" applyFill="1" applyBorder="1"/>
    <xf numFmtId="9" fontId="0" fillId="0" borderId="31" xfId="1" applyFont="1" applyFill="1" applyBorder="1"/>
    <xf numFmtId="9" fontId="0" fillId="0" borderId="0" xfId="1" applyFont="1" applyFill="1"/>
    <xf numFmtId="9" fontId="0" fillId="5" borderId="33" xfId="1" applyFont="1" applyFill="1" applyBorder="1" applyProtection="1">
      <protection locked="0"/>
    </xf>
    <xf numFmtId="9" fontId="0" fillId="5" borderId="82" xfId="1" applyFont="1" applyFill="1" applyBorder="1" applyProtection="1">
      <protection locked="0"/>
    </xf>
    <xf numFmtId="9" fontId="0" fillId="5" borderId="31" xfId="1" applyFont="1" applyFill="1" applyBorder="1" applyProtection="1">
      <protection locked="0"/>
    </xf>
    <xf numFmtId="168" fontId="0" fillId="5" borderId="84" xfId="3" applyNumberFormat="1" applyFont="1" applyFill="1" applyBorder="1" applyProtection="1">
      <protection locked="0"/>
    </xf>
    <xf numFmtId="168" fontId="0" fillId="3" borderId="84" xfId="3" applyNumberFormat="1" applyFont="1" applyFill="1" applyBorder="1"/>
    <xf numFmtId="9" fontId="0" fillId="0" borderId="27" xfId="1" applyFont="1" applyFill="1" applyBorder="1"/>
    <xf numFmtId="9" fontId="0" fillId="5" borderId="34" xfId="1" applyFont="1" applyFill="1" applyBorder="1" applyProtection="1">
      <protection locked="0"/>
    </xf>
    <xf numFmtId="9" fontId="0" fillId="5" borderId="84" xfId="1" applyFont="1" applyFill="1" applyBorder="1" applyProtection="1">
      <protection locked="0"/>
    </xf>
    <xf numFmtId="9" fontId="0" fillId="5" borderId="27" xfId="1" applyFont="1" applyFill="1" applyBorder="1" applyProtection="1">
      <protection locked="0"/>
    </xf>
    <xf numFmtId="9" fontId="0" fillId="3" borderId="27" xfId="1" applyFont="1" applyFill="1" applyBorder="1"/>
    <xf numFmtId="168" fontId="0" fillId="5" borderId="75" xfId="3" applyNumberFormat="1" applyFont="1" applyFill="1" applyBorder="1" applyProtection="1">
      <protection locked="0"/>
    </xf>
    <xf numFmtId="168" fontId="0" fillId="3" borderId="75" xfId="3" applyNumberFormat="1" applyFont="1" applyFill="1" applyBorder="1"/>
    <xf numFmtId="9" fontId="0" fillId="3" borderId="26" xfId="1" applyFont="1" applyFill="1" applyBorder="1"/>
    <xf numFmtId="9" fontId="0" fillId="0" borderId="9" xfId="1" applyFont="1" applyFill="1" applyBorder="1"/>
    <xf numFmtId="9" fontId="0" fillId="5" borderId="35" xfId="1" applyFont="1" applyFill="1" applyBorder="1" applyProtection="1">
      <protection locked="0"/>
    </xf>
    <xf numFmtId="9" fontId="0" fillId="5" borderId="75" xfId="1" applyFont="1" applyFill="1" applyBorder="1" applyProtection="1">
      <protection locked="0"/>
    </xf>
    <xf numFmtId="9" fontId="0" fillId="5" borderId="26" xfId="1" applyFont="1" applyFill="1" applyBorder="1" applyProtection="1">
      <protection locked="0"/>
    </xf>
    <xf numFmtId="0" fontId="0" fillId="0" borderId="0" xfId="0" applyFont="1" applyAlignment="1"/>
    <xf numFmtId="0" fontId="1" fillId="0" borderId="2" xfId="0" applyFont="1" applyBorder="1" applyAlignment="1">
      <alignment vertical="center"/>
    </xf>
    <xf numFmtId="0" fontId="12" fillId="0" borderId="3" xfId="0" applyFont="1" applyBorder="1" applyAlignment="1">
      <alignment horizontal="left" vertical="center"/>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62" fillId="0" borderId="92" xfId="0" applyFont="1" applyBorder="1" applyAlignment="1">
      <alignment horizontal="center" vertical="center" wrapText="1"/>
    </xf>
    <xf numFmtId="0" fontId="62" fillId="0" borderId="94" xfId="0" applyFont="1" applyBorder="1" applyAlignment="1">
      <alignment horizontal="center" vertical="center" wrapText="1"/>
    </xf>
    <xf numFmtId="0" fontId="12" fillId="0" borderId="0" xfId="0" applyFont="1" applyAlignment="1">
      <alignment horizontal="center" vertical="center"/>
    </xf>
    <xf numFmtId="0" fontId="12" fillId="0" borderId="0" xfId="0" applyFont="1" applyBorder="1" applyAlignment="1">
      <alignment horizontal="center" vertical="center" wrapText="1"/>
    </xf>
    <xf numFmtId="0" fontId="0" fillId="5" borderId="81" xfId="0" applyFont="1" applyFill="1" applyBorder="1" applyProtection="1">
      <protection locked="0"/>
    </xf>
    <xf numFmtId="0" fontId="3" fillId="5" borderId="82" xfId="0" applyFont="1" applyFill="1" applyBorder="1" applyAlignment="1" applyProtection="1">
      <alignment vertical="center"/>
      <protection locked="0"/>
    </xf>
    <xf numFmtId="0" fontId="3" fillId="5" borderId="82" xfId="0" applyFont="1" applyFill="1" applyBorder="1" applyProtection="1">
      <protection locked="0"/>
    </xf>
    <xf numFmtId="0" fontId="0" fillId="5" borderId="82" xfId="0" applyFont="1" applyFill="1" applyBorder="1" applyAlignment="1" applyProtection="1">
      <protection locked="0"/>
    </xf>
    <xf numFmtId="165" fontId="3" fillId="5" borderId="82" xfId="3" applyFont="1" applyFill="1" applyBorder="1" applyAlignment="1" applyProtection="1">
      <protection locked="0"/>
    </xf>
    <xf numFmtId="165" fontId="3" fillId="5" borderId="31" xfId="3" applyFont="1" applyFill="1" applyBorder="1" applyAlignment="1" applyProtection="1">
      <protection locked="0"/>
    </xf>
    <xf numFmtId="0" fontId="53" fillId="0" borderId="87" xfId="0" applyFont="1" applyBorder="1" applyProtection="1">
      <protection locked="0"/>
    </xf>
    <xf numFmtId="0" fontId="53" fillId="0" borderId="88" xfId="0" applyFont="1" applyBorder="1" applyProtection="1">
      <protection locked="0"/>
    </xf>
    <xf numFmtId="0" fontId="3" fillId="5" borderId="84" xfId="0" applyFont="1" applyFill="1" applyBorder="1" applyAlignment="1" applyProtection="1">
      <alignment vertical="center"/>
      <protection locked="0"/>
    </xf>
    <xf numFmtId="0" fontId="3" fillId="5" borderId="84" xfId="0" applyFont="1" applyFill="1" applyBorder="1" applyProtection="1">
      <protection locked="0"/>
    </xf>
    <xf numFmtId="0" fontId="0" fillId="5" borderId="84" xfId="0" applyFont="1" applyFill="1" applyBorder="1" applyAlignment="1" applyProtection="1">
      <protection locked="0"/>
    </xf>
    <xf numFmtId="165" fontId="3" fillId="5" borderId="84" xfId="3" applyFont="1" applyFill="1" applyBorder="1" applyAlignment="1" applyProtection="1">
      <protection locked="0"/>
    </xf>
    <xf numFmtId="165" fontId="3" fillId="5" borderId="27" xfId="3" applyFont="1" applyFill="1" applyBorder="1" applyAlignment="1" applyProtection="1">
      <protection locked="0"/>
    </xf>
    <xf numFmtId="0" fontId="53" fillId="0" borderId="89" xfId="0" applyFont="1" applyBorder="1" applyProtection="1">
      <protection locked="0"/>
    </xf>
    <xf numFmtId="0" fontId="53" fillId="0" borderId="86" xfId="0" applyFont="1" applyBorder="1" applyProtection="1">
      <protection locked="0"/>
    </xf>
    <xf numFmtId="175" fontId="3" fillId="5" borderId="84" xfId="3" applyNumberFormat="1" applyFont="1" applyFill="1" applyBorder="1" applyProtection="1">
      <protection locked="0"/>
    </xf>
    <xf numFmtId="174" fontId="3" fillId="5" borderId="27" xfId="3" applyNumberFormat="1" applyFont="1" applyFill="1" applyBorder="1" applyProtection="1">
      <protection locked="0"/>
    </xf>
    <xf numFmtId="165" fontId="3" fillId="5" borderId="27" xfId="3" applyFont="1" applyFill="1" applyBorder="1" applyProtection="1">
      <protection locked="0"/>
    </xf>
    <xf numFmtId="0" fontId="88" fillId="0" borderId="89" xfId="0" applyFont="1" applyBorder="1" applyProtection="1">
      <protection locked="0"/>
    </xf>
    <xf numFmtId="0" fontId="88" fillId="0" borderId="86" xfId="0" applyFont="1" applyBorder="1" applyProtection="1">
      <protection locked="0"/>
    </xf>
    <xf numFmtId="0" fontId="3" fillId="5" borderId="75" xfId="0" applyFont="1" applyFill="1" applyBorder="1" applyAlignment="1" applyProtection="1">
      <alignment vertical="center"/>
      <protection locked="0"/>
    </xf>
    <xf numFmtId="0" fontId="3" fillId="5" borderId="75" xfId="0" applyFont="1" applyFill="1" applyBorder="1" applyProtection="1">
      <protection locked="0"/>
    </xf>
    <xf numFmtId="0" fontId="0" fillId="5" borderId="75" xfId="0" applyFont="1" applyFill="1" applyBorder="1" applyAlignment="1" applyProtection="1">
      <protection locked="0"/>
    </xf>
    <xf numFmtId="165" fontId="3" fillId="5" borderId="75" xfId="3" applyFont="1" applyFill="1" applyBorder="1" applyAlignment="1" applyProtection="1">
      <protection locked="0"/>
    </xf>
    <xf numFmtId="165" fontId="3" fillId="5" borderId="26" xfId="3" applyFont="1" applyFill="1" applyBorder="1" applyAlignment="1" applyProtection="1">
      <protection locked="0"/>
    </xf>
    <xf numFmtId="0" fontId="53" fillId="0" borderId="90" xfId="0" applyFont="1" applyBorder="1" applyProtection="1">
      <protection locked="0"/>
    </xf>
    <xf numFmtId="0" fontId="53" fillId="0" borderId="91" xfId="0" applyFont="1" applyBorder="1" applyProtection="1">
      <protection locked="0"/>
    </xf>
    <xf numFmtId="0" fontId="0" fillId="0" borderId="0" xfId="0" applyFont="1" applyAlignment="1">
      <alignment horizontal="left"/>
    </xf>
    <xf numFmtId="0" fontId="89" fillId="13" borderId="0" xfId="0" applyFont="1" applyFill="1"/>
    <xf numFmtId="0" fontId="89" fillId="6" borderId="0" xfId="0" applyFont="1" applyFill="1"/>
    <xf numFmtId="0" fontId="1" fillId="0" borderId="1" xfId="0" applyFont="1" applyBorder="1" applyAlignment="1">
      <alignment horizontal="center" wrapText="1"/>
    </xf>
    <xf numFmtId="0" fontId="0" fillId="0" borderId="17" xfId="0" applyFont="1" applyBorder="1"/>
    <xf numFmtId="0" fontId="0" fillId="0" borderId="16" xfId="0" applyFont="1" applyBorder="1"/>
    <xf numFmtId="0" fontId="0" fillId="0" borderId="18" xfId="0" applyFont="1" applyBorder="1"/>
    <xf numFmtId="0" fontId="41" fillId="0" borderId="8" xfId="0" applyFont="1" applyBorder="1" applyAlignment="1"/>
    <xf numFmtId="165" fontId="41" fillId="0" borderId="11" xfId="0" applyNumberFormat="1" applyFont="1" applyBorder="1"/>
    <xf numFmtId="0" fontId="41" fillId="0" borderId="9" xfId="0" applyFont="1" applyBorder="1" applyAlignment="1"/>
    <xf numFmtId="165" fontId="41" fillId="0" borderId="0" xfId="0" applyNumberFormat="1" applyFont="1" applyBorder="1"/>
    <xf numFmtId="0" fontId="25" fillId="0" borderId="9" xfId="0" applyFont="1" applyFill="1" applyBorder="1" applyAlignment="1"/>
    <xf numFmtId="0" fontId="25" fillId="0" borderId="9" xfId="0" applyFont="1" applyFill="1" applyBorder="1" applyAlignment="1">
      <alignment horizontal="left"/>
    </xf>
    <xf numFmtId="0" fontId="41" fillId="0" borderId="14" xfId="0" applyFont="1" applyBorder="1"/>
    <xf numFmtId="165" fontId="41" fillId="0" borderId="14" xfId="0" applyNumberFormat="1" applyFont="1" applyBorder="1"/>
    <xf numFmtId="0" fontId="41" fillId="0" borderId="15" xfId="0" applyFont="1" applyBorder="1"/>
    <xf numFmtId="0" fontId="43" fillId="10" borderId="8" xfId="0" applyFont="1" applyFill="1" applyBorder="1" applyAlignment="1">
      <alignment horizontal="left" vertical="center"/>
    </xf>
    <xf numFmtId="0" fontId="41" fillId="10" borderId="11" xfId="0" applyFont="1" applyFill="1" applyBorder="1" applyAlignment="1">
      <alignment horizontal="left" vertical="center"/>
    </xf>
    <xf numFmtId="0" fontId="43" fillId="10" borderId="11" xfId="0" applyFont="1" applyFill="1" applyBorder="1" applyAlignment="1">
      <alignment horizontal="right" vertical="center"/>
    </xf>
    <xf numFmtId="0" fontId="43" fillId="10" borderId="11" xfId="0" applyFont="1" applyFill="1" applyBorder="1" applyAlignment="1">
      <alignment horizontal="right" vertical="center" wrapText="1"/>
    </xf>
    <xf numFmtId="0" fontId="43" fillId="10" borderId="12" xfId="0" applyFont="1" applyFill="1" applyBorder="1" applyAlignment="1">
      <alignment horizontal="right" vertical="center"/>
    </xf>
    <xf numFmtId="0" fontId="41" fillId="10" borderId="10" xfId="0" applyFont="1" applyFill="1" applyBorder="1" applyAlignment="1">
      <alignment horizontal="left" vertical="center"/>
    </xf>
    <xf numFmtId="0" fontId="41" fillId="10" borderId="14" xfId="0" applyFont="1" applyFill="1" applyBorder="1" applyAlignment="1">
      <alignment horizontal="left" vertical="center"/>
    </xf>
    <xf numFmtId="0" fontId="43" fillId="10" borderId="14" xfId="0" applyFont="1" applyFill="1" applyBorder="1" applyAlignment="1">
      <alignment horizontal="right" vertical="center"/>
    </xf>
    <xf numFmtId="0" fontId="43" fillId="10" borderId="15" xfId="0" applyFont="1" applyFill="1" applyBorder="1" applyAlignment="1">
      <alignment horizontal="left" vertical="center"/>
    </xf>
    <xf numFmtId="0" fontId="0" fillId="0" borderId="0" xfId="0" applyFont="1" applyAlignment="1">
      <alignment horizontal="right"/>
    </xf>
    <xf numFmtId="0" fontId="12" fillId="0" borderId="2" xfId="0" applyFont="1" applyBorder="1" applyAlignment="1">
      <alignment horizontal="left" vertical="center" wrapText="1"/>
    </xf>
    <xf numFmtId="0" fontId="12" fillId="0" borderId="3" xfId="0" applyFont="1" applyBorder="1" applyAlignment="1">
      <alignment horizontal="center" vertical="center"/>
    </xf>
    <xf numFmtId="0" fontId="12" fillId="0" borderId="3" xfId="0" applyFont="1" applyBorder="1" applyAlignment="1">
      <alignment horizontal="right" vertical="center" wrapText="1"/>
    </xf>
    <xf numFmtId="0" fontId="12" fillId="0" borderId="4" xfId="0" applyFont="1" applyBorder="1" applyAlignment="1">
      <alignment horizontal="right" vertical="center" wrapText="1"/>
    </xf>
    <xf numFmtId="0" fontId="0" fillId="5" borderId="11" xfId="0" applyFont="1" applyFill="1" applyBorder="1" applyAlignment="1" applyProtection="1">
      <alignment horizontal="right"/>
      <protection locked="0"/>
    </xf>
    <xf numFmtId="165" fontId="0" fillId="0" borderId="12" xfId="0" applyNumberFormat="1" applyFont="1" applyBorder="1" applyAlignment="1">
      <alignment horizontal="right"/>
    </xf>
    <xf numFmtId="168" fontId="53" fillId="0" borderId="87" xfId="3" applyNumberFormat="1" applyFont="1" applyBorder="1"/>
    <xf numFmtId="168" fontId="53" fillId="0" borderId="95" xfId="3" applyNumberFormat="1" applyFont="1" applyBorder="1"/>
    <xf numFmtId="168" fontId="53" fillId="0" borderId="88" xfId="3" applyNumberFormat="1" applyFont="1" applyBorder="1"/>
    <xf numFmtId="0" fontId="0" fillId="5" borderId="32" xfId="0" applyFont="1" applyFill="1" applyBorder="1" applyAlignment="1" applyProtection="1">
      <alignment horizontal="right"/>
      <protection locked="0"/>
    </xf>
    <xf numFmtId="165" fontId="0" fillId="0" borderId="13" xfId="0" applyNumberFormat="1" applyFont="1" applyBorder="1" applyAlignment="1">
      <alignment horizontal="right"/>
    </xf>
    <xf numFmtId="168" fontId="53" fillId="0" borderId="89" xfId="3" applyNumberFormat="1" applyFont="1" applyBorder="1"/>
    <xf numFmtId="168" fontId="53" fillId="0" borderId="0" xfId="3" applyNumberFormat="1" applyFont="1" applyBorder="1"/>
    <xf numFmtId="168" fontId="53" fillId="0" borderId="86" xfId="3" applyNumberFormat="1" applyFont="1" applyBorder="1"/>
    <xf numFmtId="165" fontId="0" fillId="5" borderId="0" xfId="0" applyNumberFormat="1" applyFont="1" applyFill="1" applyBorder="1" applyProtection="1">
      <protection locked="0"/>
    </xf>
    <xf numFmtId="0" fontId="0" fillId="5" borderId="0" xfId="0" applyFont="1" applyFill="1" applyBorder="1" applyAlignment="1" applyProtection="1">
      <alignment horizontal="right"/>
      <protection locked="0"/>
    </xf>
    <xf numFmtId="0" fontId="0" fillId="5" borderId="75" xfId="0" applyFont="1" applyFill="1" applyBorder="1" applyAlignment="1" applyProtection="1">
      <alignment horizontal="right"/>
      <protection locked="0"/>
    </xf>
    <xf numFmtId="165" fontId="0" fillId="0" borderId="15" xfId="0" applyNumberFormat="1" applyFont="1" applyBorder="1" applyAlignment="1">
      <alignment horizontal="right"/>
    </xf>
    <xf numFmtId="168" fontId="53" fillId="0" borderId="90" xfId="3" applyNumberFormat="1" applyFont="1" applyBorder="1"/>
    <xf numFmtId="168" fontId="53" fillId="0" borderId="85" xfId="3" applyNumberFormat="1" applyFont="1" applyBorder="1"/>
    <xf numFmtId="168" fontId="53" fillId="0" borderId="91" xfId="3" applyNumberFormat="1" applyFont="1" applyBorder="1"/>
    <xf numFmtId="168" fontId="67" fillId="0" borderId="96" xfId="0" applyNumberFormat="1" applyFont="1" applyBorder="1"/>
    <xf numFmtId="168" fontId="67" fillId="0" borderId="97" xfId="0" applyNumberFormat="1" applyFont="1" applyBorder="1"/>
    <xf numFmtId="168" fontId="67" fillId="0" borderId="98" xfId="0" applyNumberFormat="1" applyFont="1" applyBorder="1"/>
    <xf numFmtId="0" fontId="13" fillId="13" borderId="0" xfId="0" applyFont="1" applyFill="1" applyAlignment="1">
      <alignment horizontal="right"/>
    </xf>
    <xf numFmtId="0" fontId="13" fillId="6" borderId="0" xfId="0" applyFont="1" applyFill="1" applyAlignment="1">
      <alignment horizontal="right"/>
    </xf>
    <xf numFmtId="0" fontId="62" fillId="0" borderId="2" xfId="0" applyFont="1" applyBorder="1" applyAlignment="1">
      <alignment horizontal="center" vertical="center" wrapText="1"/>
    </xf>
    <xf numFmtId="0" fontId="62" fillId="0" borderId="3" xfId="0" applyFont="1" applyBorder="1" applyAlignment="1">
      <alignment horizontal="center" vertical="center"/>
    </xf>
    <xf numFmtId="0" fontId="62" fillId="0" borderId="4" xfId="0"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62" fillId="0" borderId="0" xfId="0" applyFont="1" applyAlignment="1">
      <alignment horizontal="center" vertical="center" wrapText="1"/>
    </xf>
    <xf numFmtId="0" fontId="62" fillId="0" borderId="0" xfId="0" applyFont="1" applyAlignment="1">
      <alignment horizontal="center" vertical="center"/>
    </xf>
    <xf numFmtId="0" fontId="0" fillId="5" borderId="11" xfId="0" applyNumberFormat="1" applyFont="1" applyFill="1" applyBorder="1" applyAlignment="1" applyProtection="1">
      <alignment horizontal="left"/>
      <protection locked="0"/>
    </xf>
    <xf numFmtId="168" fontId="49" fillId="0" borderId="8" xfId="3" applyNumberFormat="1" applyFont="1" applyFill="1" applyBorder="1"/>
    <xf numFmtId="168" fontId="49" fillId="0" borderId="11" xfId="3" applyNumberFormat="1" applyFont="1" applyFill="1" applyBorder="1"/>
    <xf numFmtId="168" fontId="49" fillId="0" borderId="12" xfId="3" applyNumberFormat="1" applyFont="1" applyFill="1" applyBorder="1"/>
    <xf numFmtId="0" fontId="0" fillId="5" borderId="32" xfId="0" applyNumberFormat="1" applyFont="1" applyFill="1" applyBorder="1" applyAlignment="1" applyProtection="1">
      <alignment horizontal="left"/>
      <protection locked="0"/>
    </xf>
    <xf numFmtId="168" fontId="49" fillId="0" borderId="9" xfId="3" applyNumberFormat="1" applyFont="1" applyFill="1" applyBorder="1"/>
    <xf numFmtId="168" fontId="49" fillId="0" borderId="0" xfId="3" applyNumberFormat="1" applyFont="1" applyFill="1" applyBorder="1"/>
    <xf numFmtId="168" fontId="49" fillId="0" borderId="13" xfId="3" applyNumberFormat="1" applyFont="1" applyFill="1" applyBorder="1"/>
    <xf numFmtId="0" fontId="0" fillId="5" borderId="75" xfId="0" applyNumberFormat="1" applyFont="1" applyFill="1" applyBorder="1" applyAlignment="1" applyProtection="1">
      <alignment horizontal="left"/>
      <protection locked="0"/>
    </xf>
    <xf numFmtId="9" fontId="0" fillId="5" borderId="75" xfId="0" applyNumberFormat="1" applyFont="1" applyFill="1" applyBorder="1" applyProtection="1">
      <protection locked="0"/>
    </xf>
    <xf numFmtId="165" fontId="0" fillId="5" borderId="26" xfId="0" applyNumberFormat="1" applyFont="1" applyFill="1" applyBorder="1" applyProtection="1">
      <protection locked="0"/>
    </xf>
    <xf numFmtId="168" fontId="49" fillId="0" borderId="10" xfId="3" applyNumberFormat="1" applyFont="1" applyFill="1" applyBorder="1"/>
    <xf numFmtId="168" fontId="49" fillId="0" borderId="14" xfId="3" applyNumberFormat="1" applyFont="1" applyFill="1" applyBorder="1"/>
    <xf numFmtId="168" fontId="49" fillId="0" borderId="15" xfId="3" applyNumberFormat="1" applyFont="1" applyFill="1" applyBorder="1"/>
    <xf numFmtId="168" fontId="49" fillId="0" borderId="10" xfId="3" applyNumberFormat="1" applyFont="1" applyBorder="1"/>
    <xf numFmtId="168" fontId="49" fillId="0" borderId="14" xfId="3" applyNumberFormat="1" applyFont="1" applyBorder="1"/>
    <xf numFmtId="168" fontId="49" fillId="0" borderId="15" xfId="3" applyNumberFormat="1" applyFont="1" applyBorder="1"/>
    <xf numFmtId="0" fontId="49" fillId="0" borderId="0" xfId="0" applyFont="1" applyAlignment="1">
      <alignment horizontal="right"/>
    </xf>
    <xf numFmtId="168" fontId="5" fillId="0" borderId="14" xfId="3" applyNumberFormat="1" applyFont="1" applyFill="1" applyBorder="1"/>
    <xf numFmtId="168" fontId="5" fillId="0" borderId="15" xfId="3" applyNumberFormat="1" applyFont="1" applyFill="1" applyBorder="1"/>
    <xf numFmtId="0" fontId="19" fillId="0" borderId="0" xfId="0" applyFont="1"/>
    <xf numFmtId="0" fontId="1" fillId="0" borderId="5" xfId="0" applyFont="1" applyBorder="1" applyAlignment="1">
      <alignment horizontal="left" vertical="center"/>
    </xf>
    <xf numFmtId="0" fontId="1" fillId="0" borderId="6" xfId="0" applyFont="1" applyBorder="1" applyAlignment="1">
      <alignment horizontal="left" vertical="center"/>
    </xf>
    <xf numFmtId="0" fontId="0" fillId="5" borderId="82" xfId="0" applyFont="1" applyFill="1" applyBorder="1" applyProtection="1">
      <protection locked="0"/>
    </xf>
    <xf numFmtId="0" fontId="0" fillId="5" borderId="12" xfId="0" applyFont="1" applyFill="1" applyBorder="1" applyAlignment="1" applyProtection="1">
      <alignment horizontal="center"/>
      <protection locked="0"/>
    </xf>
    <xf numFmtId="168" fontId="0" fillId="5" borderId="81" xfId="1" applyNumberFormat="1" applyFont="1" applyFill="1" applyBorder="1" applyProtection="1">
      <protection locked="0"/>
    </xf>
    <xf numFmtId="168" fontId="0" fillId="5" borderId="82" xfId="1" applyNumberFormat="1" applyFont="1" applyFill="1" applyBorder="1" applyProtection="1">
      <protection locked="0"/>
    </xf>
    <xf numFmtId="168" fontId="0" fillId="5" borderId="31" xfId="1" applyNumberFormat="1" applyFont="1" applyFill="1" applyBorder="1" applyProtection="1">
      <protection locked="0"/>
    </xf>
    <xf numFmtId="0" fontId="0" fillId="5" borderId="27" xfId="0" applyFont="1" applyFill="1" applyBorder="1" applyAlignment="1" applyProtection="1">
      <alignment horizontal="center"/>
      <protection locked="0"/>
    </xf>
    <xf numFmtId="168" fontId="0" fillId="5" borderId="83" xfId="1" applyNumberFormat="1" applyFont="1" applyFill="1" applyBorder="1" applyProtection="1">
      <protection locked="0"/>
    </xf>
    <xf numFmtId="168" fontId="0" fillId="5" borderId="84" xfId="1" applyNumberFormat="1" applyFont="1" applyFill="1" applyBorder="1" applyProtection="1">
      <protection locked="0"/>
    </xf>
    <xf numFmtId="168" fontId="0" fillId="5" borderId="27" xfId="1" applyNumberFormat="1" applyFont="1" applyFill="1" applyBorder="1" applyProtection="1">
      <protection locked="0"/>
    </xf>
    <xf numFmtId="0" fontId="0" fillId="5" borderId="100" xfId="0" applyFont="1" applyFill="1" applyBorder="1" applyProtection="1">
      <protection locked="0"/>
    </xf>
    <xf numFmtId="0" fontId="0" fillId="5" borderId="99" xfId="0" applyFont="1" applyFill="1" applyBorder="1" applyProtection="1">
      <protection locked="0"/>
    </xf>
    <xf numFmtId="0" fontId="0" fillId="5" borderId="101" xfId="0" applyFont="1" applyFill="1" applyBorder="1" applyAlignment="1" applyProtection="1">
      <alignment horizontal="center"/>
      <protection locked="0"/>
    </xf>
    <xf numFmtId="14" fontId="1" fillId="5" borderId="4" xfId="0" applyNumberFormat="1" applyFont="1" applyFill="1" applyBorder="1" applyProtection="1">
      <protection locked="0"/>
    </xf>
    <xf numFmtId="9" fontId="1" fillId="5" borderId="4" xfId="1" applyFont="1" applyFill="1" applyBorder="1" applyProtection="1">
      <protection locked="0"/>
    </xf>
    <xf numFmtId="0" fontId="1" fillId="0" borderId="1" xfId="0" applyFont="1" applyBorder="1" applyAlignment="1">
      <alignment horizontal="left" vertical="center" indent="1"/>
    </xf>
    <xf numFmtId="0" fontId="1" fillId="0" borderId="0" xfId="0" applyFont="1" applyAlignment="1">
      <alignment horizontal="left" vertical="center" wrapText="1"/>
    </xf>
    <xf numFmtId="0" fontId="1" fillId="0" borderId="0" xfId="0" applyFont="1" applyAlignment="1">
      <alignment horizontal="left" vertical="center" indent="2"/>
    </xf>
    <xf numFmtId="0" fontId="2" fillId="0" borderId="0" xfId="0" applyFont="1" applyAlignment="1">
      <alignment horizontal="right"/>
    </xf>
    <xf numFmtId="165" fontId="0" fillId="5" borderId="13" xfId="3" applyFont="1" applyFill="1" applyBorder="1" applyProtection="1">
      <protection locked="0"/>
    </xf>
    <xf numFmtId="165" fontId="0" fillId="0" borderId="17" xfId="3" applyFont="1" applyFill="1" applyBorder="1"/>
    <xf numFmtId="0" fontId="0" fillId="0" borderId="17" xfId="0" applyFont="1" applyBorder="1" applyAlignment="1"/>
    <xf numFmtId="165" fontId="0" fillId="5" borderId="77" xfId="3" applyFont="1" applyFill="1" applyBorder="1" applyProtection="1">
      <protection locked="0"/>
    </xf>
    <xf numFmtId="165" fontId="0" fillId="0" borderId="16" xfId="3" applyFont="1" applyFill="1" applyBorder="1"/>
    <xf numFmtId="0" fontId="0" fillId="0" borderId="16" xfId="0" applyFont="1" applyBorder="1" applyAlignment="1"/>
    <xf numFmtId="0" fontId="90" fillId="0" borderId="0" xfId="0" applyFont="1"/>
    <xf numFmtId="165" fontId="2" fillId="0" borderId="0" xfId="3" applyFont="1" applyFill="1" applyAlignment="1">
      <alignment horizontal="right"/>
    </xf>
    <xf numFmtId="165" fontId="0" fillId="5" borderId="78" xfId="3" applyFont="1" applyFill="1" applyBorder="1" applyProtection="1">
      <protection locked="0"/>
    </xf>
    <xf numFmtId="165" fontId="0" fillId="5" borderId="75" xfId="3" applyFont="1" applyFill="1" applyBorder="1" applyProtection="1">
      <protection locked="0"/>
    </xf>
    <xf numFmtId="165" fontId="0" fillId="5" borderId="26" xfId="3" applyFont="1" applyFill="1" applyBorder="1" applyProtection="1">
      <protection locked="0"/>
    </xf>
    <xf numFmtId="165" fontId="0" fillId="0" borderId="18" xfId="3" applyFont="1" applyFill="1" applyBorder="1"/>
    <xf numFmtId="165" fontId="0" fillId="0" borderId="18" xfId="3" applyFont="1" applyFill="1" applyBorder="1" applyAlignment="1">
      <alignment horizontal="left" indent="2"/>
    </xf>
    <xf numFmtId="168" fontId="0" fillId="0" borderId="11" xfId="0" applyNumberFormat="1" applyFont="1" applyBorder="1"/>
    <xf numFmtId="168" fontId="0" fillId="0" borderId="12" xfId="0" applyNumberFormat="1" applyFont="1" applyBorder="1"/>
    <xf numFmtId="168" fontId="0" fillId="0" borderId="8" xfId="0" applyNumberFormat="1" applyFont="1" applyBorder="1"/>
    <xf numFmtId="168" fontId="0" fillId="0" borderId="0" xfId="0" applyNumberFormat="1" applyFont="1" applyBorder="1"/>
    <xf numFmtId="168" fontId="0" fillId="0" borderId="13" xfId="0" applyNumberFormat="1" applyFont="1" applyBorder="1"/>
    <xf numFmtId="168" fontId="0" fillId="0" borderId="9" xfId="0" applyNumberFormat="1" applyFont="1" applyBorder="1"/>
    <xf numFmtId="168" fontId="0" fillId="0" borderId="14" xfId="0" applyNumberFormat="1" applyFont="1" applyBorder="1"/>
    <xf numFmtId="168" fontId="0" fillId="0" borderId="15" xfId="0" applyNumberFormat="1" applyFont="1" applyBorder="1"/>
    <xf numFmtId="168" fontId="0" fillId="0" borderId="10" xfId="0" applyNumberFormat="1" applyFont="1" applyBorder="1"/>
    <xf numFmtId="168" fontId="0" fillId="0" borderId="109" xfId="0" applyNumberFormat="1" applyBorder="1"/>
    <xf numFmtId="0" fontId="12" fillId="0" borderId="6" xfId="0" applyNumberFormat="1" applyFont="1" applyBorder="1"/>
    <xf numFmtId="0" fontId="12" fillId="0" borderId="7" xfId="0" applyFont="1" applyBorder="1"/>
    <xf numFmtId="0" fontId="12" fillId="0" borderId="9" xfId="0" applyFont="1" applyBorder="1" applyAlignment="1">
      <alignment horizontal="left"/>
    </xf>
    <xf numFmtId="164" fontId="0" fillId="0" borderId="0" xfId="8" applyFont="1"/>
    <xf numFmtId="0" fontId="12" fillId="0" borderId="8" xfId="0" applyFont="1" applyBorder="1" applyAlignment="1">
      <alignment horizontal="left"/>
    </xf>
    <xf numFmtId="0" fontId="1" fillId="0" borderId="8" xfId="0" applyFont="1" applyFill="1" applyBorder="1"/>
    <xf numFmtId="168" fontId="0" fillId="0" borderId="11" xfId="0" applyNumberFormat="1" applyFont="1" applyFill="1" applyBorder="1"/>
    <xf numFmtId="168" fontId="0" fillId="0" borderId="12" xfId="0" applyNumberFormat="1" applyFont="1" applyFill="1" applyBorder="1"/>
    <xf numFmtId="0" fontId="1" fillId="0" borderId="9" xfId="0" applyFont="1" applyFill="1" applyBorder="1"/>
    <xf numFmtId="168" fontId="0" fillId="0" borderId="0" xfId="0" applyNumberFormat="1" applyFont="1" applyFill="1" applyBorder="1"/>
    <xf numFmtId="168" fontId="0" fillId="0" borderId="13" xfId="0" applyNumberFormat="1" applyFont="1" applyFill="1" applyBorder="1"/>
    <xf numFmtId="0" fontId="0" fillId="0" borderId="9" xfId="0" applyFont="1" applyFill="1" applyBorder="1"/>
    <xf numFmtId="0" fontId="1" fillId="0" borderId="10" xfId="0" applyFont="1" applyFill="1" applyBorder="1"/>
    <xf numFmtId="168" fontId="0" fillId="0" borderId="14" xfId="0" applyNumberFormat="1" applyFont="1" applyFill="1" applyBorder="1"/>
    <xf numFmtId="168" fontId="0" fillId="0" borderId="15" xfId="0" applyNumberFormat="1" applyFont="1" applyFill="1" applyBorder="1"/>
    <xf numFmtId="0" fontId="12" fillId="0" borderId="0" xfId="0" applyFont="1" applyBorder="1"/>
    <xf numFmtId="168" fontId="3" fillId="0" borderId="0" xfId="0" applyNumberFormat="1" applyFont="1" applyBorder="1"/>
    <xf numFmtId="168" fontId="3" fillId="0" borderId="13" xfId="0" applyNumberFormat="1" applyFont="1" applyBorder="1"/>
    <xf numFmtId="168" fontId="3" fillId="0" borderId="14" xfId="0" applyNumberFormat="1" applyFont="1" applyBorder="1"/>
    <xf numFmtId="168" fontId="3" fillId="0" borderId="15" xfId="0" applyNumberFormat="1" applyFont="1" applyBorder="1"/>
    <xf numFmtId="0" fontId="0" fillId="5" borderId="26" xfId="0" applyFont="1" applyFill="1" applyBorder="1" applyAlignment="1" applyProtection="1">
      <alignment horizontal="center"/>
      <protection locked="0"/>
    </xf>
    <xf numFmtId="168" fontId="0" fillId="5" borderId="78" xfId="1" applyNumberFormat="1" applyFont="1" applyFill="1" applyBorder="1" applyProtection="1">
      <protection locked="0"/>
    </xf>
    <xf numFmtId="168" fontId="0" fillId="5" borderId="75" xfId="1" applyNumberFormat="1" applyFont="1" applyFill="1" applyBorder="1" applyProtection="1">
      <protection locked="0"/>
    </xf>
    <xf numFmtId="168" fontId="0" fillId="5" borderId="26" xfId="1" applyNumberFormat="1" applyFont="1" applyFill="1" applyBorder="1" applyProtection="1">
      <protection locked="0"/>
    </xf>
    <xf numFmtId="0" fontId="1" fillId="0" borderId="1" xfId="0" applyFont="1" applyBorder="1" applyAlignment="1">
      <alignment horizontal="center" vertical="center"/>
    </xf>
    <xf numFmtId="176" fontId="0" fillId="5" borderId="78" xfId="0" applyNumberFormat="1" applyFont="1" applyFill="1" applyBorder="1" applyProtection="1">
      <protection locked="0"/>
    </xf>
    <xf numFmtId="176" fontId="0" fillId="0" borderId="11" xfId="3" applyNumberFormat="1" applyFont="1" applyFill="1" applyBorder="1"/>
    <xf numFmtId="176" fontId="0" fillId="0" borderId="12" xfId="3" applyNumberFormat="1" applyFont="1" applyFill="1" applyBorder="1"/>
    <xf numFmtId="168" fontId="3" fillId="0" borderId="0" xfId="0" applyNumberFormat="1" applyFont="1" applyBorder="1" applyAlignment="1">
      <alignment horizontal="left" indent="1"/>
    </xf>
    <xf numFmtId="168" fontId="3" fillId="0" borderId="13" xfId="0" applyNumberFormat="1" applyFont="1" applyBorder="1" applyAlignment="1">
      <alignment horizontal="left" indent="1"/>
    </xf>
    <xf numFmtId="168" fontId="3" fillId="0" borderId="14" xfId="0" applyNumberFormat="1" applyFont="1" applyBorder="1" applyAlignment="1">
      <alignment horizontal="left" indent="1"/>
    </xf>
    <xf numFmtId="168" fontId="3" fillId="0" borderId="15" xfId="0" applyNumberFormat="1" applyFont="1" applyBorder="1" applyAlignment="1">
      <alignment horizontal="left" indent="1"/>
    </xf>
    <xf numFmtId="168" fontId="3" fillId="0" borderId="12" xfId="0" applyNumberFormat="1" applyFont="1" applyBorder="1" applyAlignment="1">
      <alignment horizontal="left" indent="1"/>
    </xf>
    <xf numFmtId="168" fontId="3" fillId="0" borderId="0" xfId="0" applyNumberFormat="1" applyFont="1" applyBorder="1" applyAlignment="1">
      <alignment horizontal="right"/>
    </xf>
    <xf numFmtId="168" fontId="3" fillId="0" borderId="108" xfId="0" applyNumberFormat="1" applyFont="1" applyBorder="1" applyAlignment="1">
      <alignment horizontal="right"/>
    </xf>
    <xf numFmtId="168" fontId="12" fillId="0" borderId="3" xfId="0" applyNumberFormat="1" applyFont="1" applyBorder="1"/>
    <xf numFmtId="168" fontId="12" fillId="0" borderId="4" xfId="0" applyNumberFormat="1" applyFont="1" applyBorder="1"/>
    <xf numFmtId="168" fontId="3" fillId="0" borderId="11" xfId="0" applyNumberFormat="1" applyFont="1" applyBorder="1" applyAlignment="1">
      <alignment horizontal="right"/>
    </xf>
    <xf numFmtId="168" fontId="3" fillId="0" borderId="12" xfId="0" applyNumberFormat="1" applyFont="1" applyBorder="1" applyAlignment="1">
      <alignment horizontal="right"/>
    </xf>
    <xf numFmtId="168" fontId="1" fillId="0" borderId="0" xfId="0" applyNumberFormat="1" applyFont="1" applyFill="1"/>
    <xf numFmtId="0" fontId="12" fillId="5" borderId="4" xfId="0" applyFont="1" applyFill="1" applyBorder="1" applyAlignment="1">
      <alignment horizontal="center"/>
    </xf>
    <xf numFmtId="0" fontId="1" fillId="0" borderId="9" xfId="0" applyFont="1" applyBorder="1" applyAlignment="1"/>
    <xf numFmtId="0" fontId="1" fillId="0" borderId="10" xfId="0" applyFont="1" applyBorder="1" applyAlignment="1"/>
    <xf numFmtId="0" fontId="1" fillId="0" borderId="8" xfId="0" applyFont="1" applyBorder="1" applyAlignment="1"/>
    <xf numFmtId="0" fontId="64" fillId="6" borderId="0" xfId="0" applyFont="1" applyFill="1" applyAlignment="1">
      <alignment horizontal="left" vertical="center"/>
    </xf>
    <xf numFmtId="3" fontId="91" fillId="6" borderId="0" xfId="0" applyNumberFormat="1" applyFont="1" applyFill="1"/>
    <xf numFmtId="0" fontId="6" fillId="13" borderId="0" xfId="0" applyFont="1" applyFill="1" applyAlignment="1">
      <alignment vertical="center"/>
    </xf>
    <xf numFmtId="0" fontId="7" fillId="13" borderId="0" xfId="0" applyFont="1" applyFill="1" applyAlignment="1">
      <alignment vertical="center"/>
    </xf>
    <xf numFmtId="0" fontId="0" fillId="0" borderId="0" xfId="0" applyAlignment="1">
      <alignment vertical="center"/>
    </xf>
    <xf numFmtId="0" fontId="0" fillId="0" borderId="19" xfId="0" applyBorder="1"/>
    <xf numFmtId="0" fontId="0" fillId="0" borderId="20" xfId="0" applyBorder="1"/>
    <xf numFmtId="0" fontId="0" fillId="0" borderId="21" xfId="0" applyBorder="1"/>
    <xf numFmtId="0" fontId="0" fillId="0" borderId="28" xfId="0" applyBorder="1"/>
    <xf numFmtId="0" fontId="0" fillId="0" borderId="29" xfId="0" applyBorder="1"/>
    <xf numFmtId="0" fontId="0" fillId="0" borderId="30" xfId="0" applyBorder="1"/>
    <xf numFmtId="0" fontId="12" fillId="5" borderId="33" xfId="0" applyFont="1" applyFill="1" applyBorder="1" applyProtection="1">
      <protection locked="0"/>
    </xf>
    <xf numFmtId="169" fontId="0" fillId="5" borderId="11" xfId="0" applyNumberFormat="1" applyFont="1" applyFill="1" applyBorder="1" applyProtection="1">
      <protection locked="0"/>
    </xf>
    <xf numFmtId="169" fontId="0" fillId="5" borderId="32" xfId="0" applyNumberFormat="1" applyFont="1" applyFill="1" applyBorder="1" applyProtection="1">
      <protection locked="0"/>
    </xf>
    <xf numFmtId="168" fontId="3" fillId="0" borderId="9" xfId="0" applyNumberFormat="1" applyFont="1" applyBorder="1"/>
    <xf numFmtId="168" fontId="3" fillId="0" borderId="10" xfId="0" applyNumberFormat="1" applyFont="1" applyBorder="1"/>
    <xf numFmtId="168" fontId="0" fillId="5" borderId="12" xfId="0" applyNumberFormat="1" applyFont="1" applyFill="1" applyBorder="1" applyProtection="1">
      <protection locked="0"/>
    </xf>
    <xf numFmtId="0" fontId="10" fillId="3" borderId="7" xfId="0" applyFont="1" applyFill="1" applyBorder="1" applyAlignment="1">
      <alignment horizontal="center"/>
    </xf>
    <xf numFmtId="0" fontId="10" fillId="3" borderId="6" xfId="0" applyFont="1" applyFill="1" applyBorder="1" applyAlignment="1">
      <alignment horizontal="center"/>
    </xf>
    <xf numFmtId="0" fontId="12" fillId="3" borderId="6" xfId="0" applyFont="1" applyFill="1" applyBorder="1" applyAlignment="1">
      <alignment horizontal="right"/>
    </xf>
    <xf numFmtId="0" fontId="0" fillId="3" borderId="0" xfId="0" applyFont="1" applyFill="1" applyAlignment="1"/>
    <xf numFmtId="0" fontId="1" fillId="0" borderId="7" xfId="0" applyFont="1" applyFill="1" applyBorder="1" applyAlignment="1">
      <alignment horizontal="center" vertical="center"/>
    </xf>
    <xf numFmtId="0" fontId="1" fillId="0" borderId="7" xfId="0" applyFont="1" applyFill="1" applyBorder="1" applyAlignment="1">
      <alignment horizontal="center"/>
    </xf>
    <xf numFmtId="0" fontId="12" fillId="5" borderId="80" xfId="0" applyFont="1" applyFill="1" applyBorder="1" applyProtection="1">
      <protection locked="0"/>
    </xf>
    <xf numFmtId="0" fontId="12" fillId="13" borderId="0" xfId="0" applyFont="1" applyFill="1"/>
    <xf numFmtId="0" fontId="12" fillId="6" borderId="0" xfId="0" applyFont="1" applyFill="1"/>
    <xf numFmtId="0" fontId="12" fillId="3" borderId="0" xfId="0" applyFont="1" applyFill="1"/>
    <xf numFmtId="0" fontId="12" fillId="3" borderId="6" xfId="0" applyFont="1" applyFill="1" applyBorder="1"/>
    <xf numFmtId="168" fontId="0" fillId="5" borderId="11" xfId="0" applyNumberFormat="1" applyFont="1" applyFill="1" applyBorder="1"/>
    <xf numFmtId="168" fontId="0" fillId="5" borderId="12" xfId="0" applyNumberFormat="1" applyFont="1" applyFill="1" applyBorder="1"/>
    <xf numFmtId="168" fontId="0" fillId="0" borderId="6" xfId="0" applyNumberFormat="1" applyFont="1" applyBorder="1"/>
    <xf numFmtId="168" fontId="0" fillId="0" borderId="7" xfId="0" applyNumberFormat="1" applyFont="1" applyBorder="1"/>
    <xf numFmtId="168" fontId="0" fillId="0" borderId="109" xfId="0" applyNumberFormat="1" applyFont="1" applyBorder="1"/>
    <xf numFmtId="0" fontId="0" fillId="0" borderId="3" xfId="0" applyFont="1" applyBorder="1" applyAlignment="1">
      <alignment horizontal="right"/>
    </xf>
    <xf numFmtId="0" fontId="1" fillId="0" borderId="3" xfId="0" applyFont="1" applyBorder="1" applyAlignment="1">
      <alignment vertical="center" wrapText="1"/>
    </xf>
    <xf numFmtId="168" fontId="0" fillId="5" borderId="75" xfId="0" applyNumberFormat="1" applyFont="1" applyFill="1" applyBorder="1" applyAlignment="1" applyProtection="1">
      <alignment horizontal="right"/>
      <protection locked="0"/>
    </xf>
    <xf numFmtId="0" fontId="0" fillId="5" borderId="11" xfId="0" applyFont="1" applyFill="1" applyBorder="1" applyAlignment="1" applyProtection="1">
      <alignment horizontal="left"/>
      <protection locked="0"/>
    </xf>
    <xf numFmtId="0" fontId="67" fillId="3" borderId="87" xfId="0" applyFont="1" applyFill="1" applyBorder="1" applyAlignment="1">
      <alignment horizontal="center" vertical="center" wrapText="1"/>
    </xf>
    <xf numFmtId="0" fontId="67" fillId="3" borderId="95" xfId="0" applyFont="1" applyFill="1" applyBorder="1" applyAlignment="1">
      <alignment horizontal="center" vertical="center"/>
    </xf>
    <xf numFmtId="0" fontId="67" fillId="3" borderId="88" xfId="0" applyFont="1" applyFill="1" applyBorder="1" applyAlignment="1">
      <alignment horizontal="center" vertical="center"/>
    </xf>
    <xf numFmtId="168" fontId="53" fillId="0" borderId="110" xfId="3" applyNumberFormat="1" applyFont="1" applyBorder="1"/>
    <xf numFmtId="168" fontId="53" fillId="0" borderId="111" xfId="3" applyNumberFormat="1" applyFont="1" applyBorder="1"/>
    <xf numFmtId="168" fontId="53" fillId="0" borderId="112" xfId="3" applyNumberFormat="1" applyFont="1" applyBorder="1"/>
    <xf numFmtId="168" fontId="53" fillId="0" borderId="113" xfId="3" applyNumberFormat="1" applyFont="1" applyBorder="1"/>
    <xf numFmtId="168" fontId="53" fillId="0" borderId="114" xfId="3" applyNumberFormat="1" applyFont="1" applyBorder="1"/>
    <xf numFmtId="168" fontId="53" fillId="0" borderId="115" xfId="3" applyNumberFormat="1" applyFont="1" applyBorder="1"/>
    <xf numFmtId="168" fontId="53" fillId="0" borderId="116" xfId="3" applyNumberFormat="1" applyFont="1" applyBorder="1"/>
    <xf numFmtId="168" fontId="53" fillId="0" borderId="117" xfId="3" applyNumberFormat="1" applyFont="1" applyBorder="1"/>
    <xf numFmtId="0" fontId="92" fillId="0" borderId="0" xfId="2" applyFont="1" applyBorder="1"/>
    <xf numFmtId="0" fontId="92" fillId="0" borderId="0" xfId="2" applyFont="1" applyFill="1" applyBorder="1"/>
    <xf numFmtId="0" fontId="92" fillId="0" borderId="0" xfId="2" applyFont="1"/>
    <xf numFmtId="168" fontId="12" fillId="3" borderId="12" xfId="3" applyNumberFormat="1" applyFont="1" applyFill="1" applyBorder="1" applyAlignment="1" applyProtection="1">
      <alignment horizontal="center"/>
      <protection locked="0"/>
    </xf>
    <xf numFmtId="169" fontId="12" fillId="5" borderId="26" xfId="1" applyNumberFormat="1" applyFont="1" applyFill="1" applyBorder="1" applyAlignment="1" applyProtection="1">
      <alignment horizontal="right"/>
      <protection locked="0"/>
    </xf>
    <xf numFmtId="165" fontId="12" fillId="3" borderId="12" xfId="3" quotePrefix="1" applyFont="1" applyFill="1" applyBorder="1" applyAlignment="1" applyProtection="1">
      <alignment horizontal="center"/>
      <protection locked="0"/>
    </xf>
    <xf numFmtId="0" fontId="12" fillId="5" borderId="27" xfId="0" applyFont="1" applyFill="1" applyBorder="1" applyAlignment="1" applyProtection="1">
      <alignment horizontal="right"/>
      <protection locked="0"/>
    </xf>
    <xf numFmtId="0" fontId="12" fillId="5" borderId="33" xfId="0" applyFont="1" applyFill="1" applyBorder="1"/>
    <xf numFmtId="3" fontId="0" fillId="3" borderId="11" xfId="15" applyNumberFormat="1" applyFont="1" applyFill="1" applyBorder="1"/>
    <xf numFmtId="3" fontId="0" fillId="3" borderId="12" xfId="15" applyNumberFormat="1" applyFont="1" applyFill="1" applyBorder="1"/>
    <xf numFmtId="169" fontId="0" fillId="5" borderId="14" xfId="0" applyNumberFormat="1" applyFont="1" applyFill="1" applyBorder="1"/>
    <xf numFmtId="169" fontId="0" fillId="5" borderId="15" xfId="0" applyNumberFormat="1" applyFont="1" applyFill="1" applyBorder="1"/>
    <xf numFmtId="0" fontId="0" fillId="5" borderId="32" xfId="0" applyFont="1" applyFill="1" applyBorder="1" applyAlignment="1" applyProtection="1">
      <alignment horizontal="left"/>
      <protection locked="0"/>
    </xf>
    <xf numFmtId="0" fontId="0" fillId="5" borderId="75" xfId="0" applyFont="1" applyFill="1" applyBorder="1" applyAlignment="1" applyProtection="1">
      <alignment horizontal="left"/>
      <protection locked="0"/>
    </xf>
    <xf numFmtId="168" fontId="0" fillId="5" borderId="11" xfId="0" applyNumberFormat="1" applyFont="1" applyFill="1" applyBorder="1" applyProtection="1">
      <protection locked="0"/>
    </xf>
    <xf numFmtId="168" fontId="0" fillId="5" borderId="0" xfId="0" applyNumberFormat="1" applyFont="1" applyFill="1" applyBorder="1" applyProtection="1">
      <protection locked="0"/>
    </xf>
    <xf numFmtId="168" fontId="0" fillId="5" borderId="75" xfId="0" applyNumberFormat="1" applyFont="1" applyFill="1" applyBorder="1" applyProtection="1">
      <protection locked="0"/>
    </xf>
    <xf numFmtId="0" fontId="83" fillId="13" borderId="0" xfId="0" applyFont="1" applyFill="1" applyAlignment="1">
      <alignment horizontal="center" vertical="center"/>
    </xf>
    <xf numFmtId="0" fontId="10" fillId="3" borderId="0" xfId="17" applyFont="1" applyFill="1" applyAlignment="1">
      <alignment horizontal="center"/>
    </xf>
    <xf numFmtId="0" fontId="85" fillId="13" borderId="0" xfId="0" applyFont="1" applyFill="1" applyAlignment="1">
      <alignment horizontal="center" vertical="center"/>
    </xf>
    <xf numFmtId="0" fontId="13" fillId="13" borderId="0" xfId="0" applyFont="1" applyFill="1" applyAlignment="1">
      <alignment horizontal="center" vertical="center"/>
    </xf>
    <xf numFmtId="0" fontId="17" fillId="7" borderId="0" xfId="0" applyFont="1" applyFill="1" applyAlignment="1">
      <alignment horizontal="left" vertical="top"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6" xfId="0" applyFont="1" applyBorder="1" applyAlignment="1">
      <alignment horizontal="left"/>
    </xf>
    <xf numFmtId="0" fontId="1" fillId="0" borderId="19" xfId="0" applyFont="1" applyBorder="1" applyAlignment="1">
      <alignment horizontal="center"/>
    </xf>
    <xf numFmtId="0" fontId="1" fillId="0" borderId="20" xfId="0" applyFont="1" applyBorder="1" applyAlignment="1">
      <alignment horizontal="center"/>
    </xf>
    <xf numFmtId="0" fontId="1" fillId="0" borderId="20" xfId="0" applyFont="1" applyBorder="1" applyAlignment="1">
      <alignment horizontal="left"/>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3" fontId="12" fillId="10" borderId="11" xfId="0" applyNumberFormat="1" applyFont="1" applyFill="1" applyBorder="1" applyAlignment="1">
      <alignment horizontal="right" vertical="center" wrapText="1"/>
    </xf>
    <xf numFmtId="3" fontId="12" fillId="10" borderId="14" xfId="0" applyNumberFormat="1" applyFont="1" applyFill="1" applyBorder="1" applyAlignment="1">
      <alignment horizontal="right" vertical="center" wrapText="1"/>
    </xf>
    <xf numFmtId="0" fontId="12" fillId="10" borderId="11" xfId="0" applyFont="1" applyFill="1" applyBorder="1" applyAlignment="1">
      <alignment horizontal="left" vertical="center"/>
    </xf>
    <xf numFmtId="0" fontId="12" fillId="10" borderId="14" xfId="0" applyFont="1" applyFill="1" applyBorder="1" applyAlignment="1">
      <alignment horizontal="left" vertical="center"/>
    </xf>
    <xf numFmtId="0" fontId="12" fillId="10" borderId="8" xfId="0" applyFont="1" applyFill="1" applyBorder="1" applyAlignment="1">
      <alignment horizontal="left" vertical="top" wrapText="1"/>
    </xf>
    <xf numFmtId="0" fontId="12" fillId="10" borderId="9" xfId="0" applyFont="1" applyFill="1" applyBorder="1" applyAlignment="1">
      <alignment horizontal="left" vertical="top" wrapText="1"/>
    </xf>
    <xf numFmtId="0" fontId="12" fillId="10" borderId="10" xfId="0" applyFont="1" applyFill="1" applyBorder="1" applyAlignment="1">
      <alignment horizontal="left" vertical="top" wrapText="1"/>
    </xf>
    <xf numFmtId="0" fontId="12" fillId="10" borderId="8" xfId="0" applyFont="1" applyFill="1" applyBorder="1" applyAlignment="1">
      <alignment horizontal="left" vertical="center"/>
    </xf>
    <xf numFmtId="0" fontId="12" fillId="10" borderId="10" xfId="0" applyFont="1" applyFill="1" applyBorder="1" applyAlignment="1">
      <alignment horizontal="left" vertical="center"/>
    </xf>
    <xf numFmtId="9" fontId="12" fillId="10" borderId="11" xfId="0" applyNumberFormat="1" applyFont="1" applyFill="1" applyBorder="1" applyAlignment="1">
      <alignment horizontal="right" vertical="center" wrapText="1"/>
    </xf>
    <xf numFmtId="9" fontId="12" fillId="10" borderId="14" xfId="0" applyNumberFormat="1" applyFont="1" applyFill="1" applyBorder="1" applyAlignment="1">
      <alignment horizontal="right" vertical="center" wrapText="1"/>
    </xf>
    <xf numFmtId="0" fontId="17" fillId="0" borderId="5" xfId="0" applyFont="1" applyBorder="1" applyAlignment="1">
      <alignment horizontal="center"/>
    </xf>
    <xf numFmtId="0" fontId="17" fillId="0" borderId="6" xfId="0" applyFont="1" applyBorder="1" applyAlignment="1">
      <alignment horizontal="center"/>
    </xf>
    <xf numFmtId="0" fontId="17" fillId="0" borderId="7" xfId="0" applyFont="1" applyBorder="1" applyAlignment="1">
      <alignment horizont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7" xfId="0" applyFont="1" applyBorder="1" applyAlignment="1">
      <alignment horizontal="center"/>
    </xf>
    <xf numFmtId="0" fontId="3" fillId="0" borderId="102" xfId="0" applyFont="1" applyBorder="1" applyAlignment="1">
      <alignment horizontal="center"/>
    </xf>
    <xf numFmtId="0" fontId="1" fillId="0" borderId="0" xfId="0" applyFont="1" applyAlignment="1">
      <alignment horizontal="center"/>
    </xf>
    <xf numFmtId="0" fontId="60" fillId="14" borderId="10" xfId="13" applyFont="1" applyFill="1" applyBorder="1" applyAlignment="1">
      <alignment horizontal="center" vertical="center" wrapText="1"/>
    </xf>
    <xf numFmtId="0" fontId="60" fillId="14" borderId="14" xfId="13" applyFont="1" applyFill="1" applyBorder="1" applyAlignment="1">
      <alignment horizontal="center" vertical="center" wrapText="1"/>
    </xf>
    <xf numFmtId="0" fontId="60" fillId="14" borderId="1" xfId="0" applyFont="1" applyFill="1" applyBorder="1" applyAlignment="1">
      <alignment horizontal="center" vertical="center" wrapText="1"/>
    </xf>
    <xf numFmtId="172" fontId="60" fillId="14" borderId="1" xfId="0" applyNumberFormat="1" applyFont="1" applyFill="1" applyBorder="1" applyAlignment="1">
      <alignment horizontal="center" vertical="center" wrapText="1"/>
    </xf>
    <xf numFmtId="0" fontId="60" fillId="14" borderId="2" xfId="13" applyFont="1" applyFill="1" applyBorder="1" applyAlignment="1">
      <alignment horizontal="center" vertical="center" wrapText="1"/>
    </xf>
    <xf numFmtId="0" fontId="60" fillId="14" borderId="3" xfId="13" applyFont="1" applyFill="1" applyBorder="1" applyAlignment="1">
      <alignment horizontal="center" vertical="center" wrapText="1"/>
    </xf>
    <xf numFmtId="0" fontId="60" fillId="14" borderId="1" xfId="13" applyFont="1" applyFill="1" applyBorder="1" applyAlignment="1">
      <alignment horizontal="center" vertical="center" wrapText="1"/>
    </xf>
    <xf numFmtId="172" fontId="60" fillId="14" borderId="1" xfId="13" applyNumberFormat="1" applyFont="1" applyFill="1" applyBorder="1" applyAlignment="1">
      <alignment horizontal="center" vertical="center" wrapText="1"/>
    </xf>
    <xf numFmtId="0" fontId="60" fillId="14" borderId="2" xfId="0" applyFont="1" applyFill="1" applyBorder="1" applyAlignment="1">
      <alignment horizontal="center" vertical="center" wrapText="1"/>
    </xf>
    <xf numFmtId="0" fontId="60" fillId="14" borderId="4" xfId="0" applyFont="1" applyFill="1" applyBorder="1" applyAlignment="1">
      <alignment horizontal="center" vertical="center" wrapText="1"/>
    </xf>
    <xf numFmtId="0" fontId="59" fillId="0" borderId="14" xfId="13" applyFont="1" applyBorder="1" applyAlignment="1">
      <alignment horizontal="center" vertical="center" wrapText="1"/>
    </xf>
    <xf numFmtId="172" fontId="59" fillId="0" borderId="14" xfId="13" applyNumberFormat="1" applyFont="1" applyBorder="1" applyAlignment="1">
      <alignment horizontal="center" vertical="center" wrapText="1"/>
    </xf>
    <xf numFmtId="0" fontId="61" fillId="0" borderId="1" xfId="0" applyFont="1" applyBorder="1" applyAlignment="1">
      <alignment horizontal="center"/>
    </xf>
    <xf numFmtId="0" fontId="30" fillId="0" borderId="62" xfId="0" applyFont="1" applyBorder="1" applyAlignment="1">
      <alignment horizontal="center" vertical="top"/>
    </xf>
    <xf numFmtId="0" fontId="30" fillId="0" borderId="63" xfId="0" applyFont="1" applyBorder="1" applyAlignment="1">
      <alignment horizontal="center" vertical="top"/>
    </xf>
    <xf numFmtId="0" fontId="30" fillId="0" borderId="64" xfId="0" applyFont="1" applyBorder="1" applyAlignment="1">
      <alignment horizontal="center" vertical="top"/>
    </xf>
    <xf numFmtId="0" fontId="26" fillId="13" borderId="0" xfId="7" applyFont="1" applyFill="1" applyAlignment="1">
      <alignment horizontal="center" vertical="center" wrapText="1"/>
    </xf>
    <xf numFmtId="0" fontId="26" fillId="13" borderId="0" xfId="0" applyFont="1" applyFill="1" applyAlignment="1">
      <alignment horizontal="center" vertical="center" wrapText="1"/>
    </xf>
    <xf numFmtId="0" fontId="30" fillId="9" borderId="24" xfId="0" applyFont="1" applyFill="1" applyBorder="1" applyAlignment="1">
      <alignment horizontal="center" vertical="center" wrapText="1"/>
    </xf>
    <xf numFmtId="0" fontId="30" fillId="9" borderId="42" xfId="0" applyFont="1" applyFill="1" applyBorder="1" applyAlignment="1">
      <alignment horizontal="center" vertical="center" wrapText="1"/>
    </xf>
    <xf numFmtId="0" fontId="30" fillId="9" borderId="25" xfId="0" applyFont="1" applyFill="1" applyBorder="1" applyAlignment="1">
      <alignment horizontal="center" vertical="center" wrapText="1"/>
    </xf>
    <xf numFmtId="0" fontId="30" fillId="2" borderId="24" xfId="0" applyFont="1" applyFill="1" applyBorder="1" applyAlignment="1">
      <alignment horizontal="center" vertical="center" wrapText="1"/>
    </xf>
    <xf numFmtId="0" fontId="30" fillId="2" borderId="42" xfId="0" applyFont="1" applyFill="1" applyBorder="1" applyAlignment="1">
      <alignment horizontal="center" vertical="center" wrapText="1"/>
    </xf>
    <xf numFmtId="0" fontId="30" fillId="2" borderId="25"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2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30" fillId="7" borderId="24" xfId="0" applyFont="1" applyFill="1" applyBorder="1" applyAlignment="1">
      <alignment horizontal="center" vertical="center" wrapText="1"/>
    </xf>
    <xf numFmtId="0" fontId="30" fillId="7" borderId="25" xfId="0" applyFont="1" applyFill="1" applyBorder="1" applyAlignment="1">
      <alignment horizontal="center" vertical="center" wrapText="1"/>
    </xf>
    <xf numFmtId="0" fontId="30" fillId="7" borderId="5" xfId="0" applyFont="1" applyFill="1" applyBorder="1" applyAlignment="1">
      <alignment horizontal="center" vertical="center"/>
    </xf>
    <xf numFmtId="0" fontId="30" fillId="7" borderId="6" xfId="0" applyFont="1" applyFill="1" applyBorder="1" applyAlignment="1">
      <alignment horizontal="center" vertical="center"/>
    </xf>
    <xf numFmtId="0" fontId="30" fillId="7" borderId="7" xfId="0" applyFont="1" applyFill="1" applyBorder="1" applyAlignment="1">
      <alignment horizontal="center" vertical="center"/>
    </xf>
    <xf numFmtId="0" fontId="30" fillId="7" borderId="42" xfId="0" applyFont="1" applyFill="1" applyBorder="1" applyAlignment="1">
      <alignment horizontal="center" vertical="center" wrapText="1"/>
    </xf>
    <xf numFmtId="0" fontId="35" fillId="0" borderId="53" xfId="7" applyFont="1" applyBorder="1" applyAlignment="1">
      <alignment horizontal="left" vertical="top" wrapText="1"/>
    </xf>
    <xf numFmtId="0" fontId="35" fillId="0" borderId="39" xfId="7" applyFont="1" applyBorder="1" applyAlignment="1">
      <alignment horizontal="left" vertical="top" wrapText="1"/>
    </xf>
    <xf numFmtId="0" fontId="34" fillId="4" borderId="19" xfId="7" applyFont="1" applyFill="1" applyBorder="1" applyAlignment="1">
      <alignment horizontal="center" vertical="center"/>
    </xf>
    <xf numFmtId="0" fontId="34" fillId="4" borderId="20" xfId="7" applyFont="1" applyFill="1" applyBorder="1" applyAlignment="1">
      <alignment horizontal="center" vertical="center"/>
    </xf>
    <xf numFmtId="0" fontId="34" fillId="4" borderId="21" xfId="7" applyFont="1" applyFill="1" applyBorder="1" applyAlignment="1">
      <alignment horizontal="center" vertical="center"/>
    </xf>
    <xf numFmtId="0" fontId="35" fillId="0" borderId="62" xfId="7" applyFont="1" applyBorder="1" applyAlignment="1">
      <alignment horizontal="left" vertical="top" wrapText="1"/>
    </xf>
    <xf numFmtId="0" fontId="35" fillId="0" borderId="63" xfId="7" applyFont="1" applyBorder="1" applyAlignment="1">
      <alignment horizontal="left" vertical="top" wrapText="1"/>
    </xf>
    <xf numFmtId="0" fontId="35" fillId="0" borderId="64" xfId="7" applyFont="1" applyBorder="1" applyAlignment="1">
      <alignment horizontal="left" vertical="top" wrapText="1"/>
    </xf>
    <xf numFmtId="3" fontId="34" fillId="4" borderId="5" xfId="7" applyNumberFormat="1" applyFont="1" applyFill="1" applyBorder="1" applyAlignment="1">
      <alignment horizontal="center" vertical="center"/>
    </xf>
    <xf numFmtId="3" fontId="34" fillId="4" borderId="6" xfId="7" applyNumberFormat="1" applyFont="1" applyFill="1" applyBorder="1" applyAlignment="1">
      <alignment horizontal="center" vertical="center"/>
    </xf>
    <xf numFmtId="3" fontId="34" fillId="4" borderId="7" xfId="7" applyNumberFormat="1" applyFont="1" applyFill="1" applyBorder="1" applyAlignment="1">
      <alignment horizontal="center" vertical="center"/>
    </xf>
    <xf numFmtId="0" fontId="37" fillId="11" borderId="0" xfId="0" applyFont="1" applyFill="1" applyAlignment="1">
      <alignment horizontal="center" vertical="center" wrapText="1"/>
    </xf>
    <xf numFmtId="0" fontId="39" fillId="0" borderId="0" xfId="0" applyFont="1" applyAlignment="1">
      <alignment horizontal="center" vertical="center"/>
    </xf>
    <xf numFmtId="0" fontId="26" fillId="13" borderId="20" xfId="7" applyFont="1" applyFill="1" applyBorder="1" applyAlignment="1">
      <alignment horizontal="center" vertical="center"/>
    </xf>
    <xf numFmtId="0" fontId="34" fillId="4" borderId="5" xfId="7" applyFont="1" applyFill="1" applyBorder="1" applyAlignment="1">
      <alignment horizontal="center" vertical="center"/>
    </xf>
    <xf numFmtId="0" fontId="34" fillId="4" borderId="6" xfId="7" applyFont="1" applyFill="1" applyBorder="1" applyAlignment="1">
      <alignment horizontal="center" vertical="center"/>
    </xf>
    <xf numFmtId="0" fontId="34" fillId="4" borderId="7" xfId="7" applyFont="1" applyFill="1" applyBorder="1" applyAlignment="1">
      <alignment horizontal="center" vertical="center"/>
    </xf>
    <xf numFmtId="0" fontId="35" fillId="0" borderId="24" xfId="7" applyFont="1" applyBorder="1" applyAlignment="1">
      <alignment horizontal="left" vertical="top" wrapText="1"/>
    </xf>
    <xf numFmtId="0" fontId="35" fillId="0" borderId="42" xfId="7" applyFont="1" applyBorder="1" applyAlignment="1">
      <alignment horizontal="left" vertical="top" wrapText="1"/>
    </xf>
    <xf numFmtId="3" fontId="34" fillId="4" borderId="28" xfId="7" applyNumberFormat="1" applyFont="1" applyFill="1" applyBorder="1" applyAlignment="1">
      <alignment horizontal="center" vertical="center"/>
    </xf>
    <xf numFmtId="3" fontId="34" fillId="4" borderId="29" xfId="7" applyNumberFormat="1" applyFont="1" applyFill="1" applyBorder="1" applyAlignment="1">
      <alignment horizontal="center" vertical="center"/>
    </xf>
    <xf numFmtId="3" fontId="34" fillId="4" borderId="30" xfId="7" applyNumberFormat="1" applyFont="1" applyFill="1" applyBorder="1" applyAlignment="1">
      <alignment horizontal="center" vertical="center"/>
    </xf>
    <xf numFmtId="0" fontId="9" fillId="0" borderId="69" xfId="7" applyFont="1" applyBorder="1" applyAlignment="1">
      <alignment horizontal="center" vertical="center"/>
    </xf>
    <xf numFmtId="0" fontId="9" fillId="0" borderId="72" xfId="7" applyFont="1" applyBorder="1" applyAlignment="1">
      <alignment horizontal="center" vertical="center"/>
    </xf>
    <xf numFmtId="0" fontId="9" fillId="0" borderId="67" xfId="7" applyFont="1" applyBorder="1" applyAlignment="1">
      <alignment horizontal="center" vertical="center"/>
    </xf>
    <xf numFmtId="3" fontId="35" fillId="0" borderId="70" xfId="7" applyNumberFormat="1" applyFont="1" applyBorder="1" applyAlignment="1">
      <alignment horizontal="center" vertical="center"/>
    </xf>
    <xf numFmtId="3" fontId="35" fillId="0" borderId="11" xfId="7" applyNumberFormat="1" applyFont="1" applyBorder="1" applyAlignment="1">
      <alignment horizontal="center" vertical="center"/>
    </xf>
    <xf numFmtId="3" fontId="35" fillId="0" borderId="22" xfId="7" applyNumberFormat="1" applyFont="1" applyBorder="1" applyAlignment="1">
      <alignment horizontal="center" vertical="center"/>
    </xf>
    <xf numFmtId="3" fontId="35" fillId="0" borderId="0" xfId="7" applyNumberFormat="1" applyFont="1" applyAlignment="1">
      <alignment horizontal="center" vertical="center"/>
    </xf>
    <xf numFmtId="3" fontId="35" fillId="0" borderId="28" xfId="7" applyNumberFormat="1" applyFont="1" applyBorder="1" applyAlignment="1">
      <alignment horizontal="center" vertical="center"/>
    </xf>
    <xf numFmtId="3" fontId="35" fillId="0" borderId="29" xfId="7" applyNumberFormat="1" applyFont="1" applyBorder="1" applyAlignment="1">
      <alignment horizontal="center" vertical="center"/>
    </xf>
    <xf numFmtId="3" fontId="25" fillId="0" borderId="70" xfId="7" applyNumberFormat="1" applyFont="1" applyBorder="1" applyAlignment="1">
      <alignment horizontal="center"/>
    </xf>
    <xf numFmtId="3" fontId="25" fillId="0" borderId="11" xfId="7" applyNumberFormat="1" applyFont="1" applyBorder="1" applyAlignment="1">
      <alignment horizontal="center"/>
    </xf>
    <xf numFmtId="3" fontId="25" fillId="0" borderId="71" xfId="7" applyNumberFormat="1" applyFont="1" applyBorder="1" applyAlignment="1">
      <alignment horizontal="center"/>
    </xf>
    <xf numFmtId="3" fontId="25" fillId="0" borderId="22" xfId="7" applyNumberFormat="1" applyFont="1" applyBorder="1" applyAlignment="1">
      <alignment horizontal="center"/>
    </xf>
    <xf numFmtId="3" fontId="25" fillId="0" borderId="0" xfId="7" applyNumberFormat="1" applyFont="1" applyAlignment="1">
      <alignment horizontal="center"/>
    </xf>
    <xf numFmtId="3" fontId="25" fillId="0" borderId="23" xfId="7" applyNumberFormat="1" applyFont="1" applyBorder="1" applyAlignment="1">
      <alignment horizontal="center"/>
    </xf>
    <xf numFmtId="0" fontId="3" fillId="0" borderId="23" xfId="7" applyFont="1" applyBorder="1" applyAlignment="1">
      <alignment horizontal="center" vertical="top" wrapText="1"/>
    </xf>
    <xf numFmtId="3" fontId="34" fillId="4" borderId="19" xfId="7" applyNumberFormat="1" applyFont="1" applyFill="1" applyBorder="1" applyAlignment="1">
      <alignment horizontal="center" vertical="center"/>
    </xf>
    <xf numFmtId="3" fontId="34" fillId="4" borderId="20" xfId="7" applyNumberFormat="1" applyFont="1" applyFill="1" applyBorder="1" applyAlignment="1">
      <alignment horizontal="center" vertical="center"/>
    </xf>
    <xf numFmtId="3" fontId="34" fillId="4" borderId="21" xfId="7" applyNumberFormat="1" applyFont="1" applyFill="1" applyBorder="1" applyAlignment="1">
      <alignment horizontal="center" vertical="center"/>
    </xf>
    <xf numFmtId="0" fontId="30" fillId="5" borderId="1" xfId="7" applyFont="1" applyFill="1" applyBorder="1" applyAlignment="1">
      <alignment horizontal="left" vertical="center" wrapText="1"/>
    </xf>
    <xf numFmtId="0" fontId="13" fillId="13" borderId="0" xfId="7" applyFont="1" applyFill="1" applyAlignment="1">
      <alignment horizontal="center" vertical="center"/>
    </xf>
    <xf numFmtId="0" fontId="30" fillId="9" borderId="24" xfId="7" applyFont="1" applyFill="1" applyBorder="1" applyAlignment="1">
      <alignment horizontal="center" vertical="center" wrapText="1"/>
    </xf>
    <xf numFmtId="0" fontId="30" fillId="9" borderId="42" xfId="7" applyFont="1" applyFill="1" applyBorder="1" applyAlignment="1">
      <alignment horizontal="center" vertical="center" wrapText="1"/>
    </xf>
    <xf numFmtId="0" fontId="30" fillId="9" borderId="25"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9" fillId="7" borderId="24" xfId="7" applyFont="1" applyFill="1" applyBorder="1" applyAlignment="1">
      <alignment horizontal="center" vertical="center"/>
    </xf>
    <xf numFmtId="0" fontId="9" fillId="7" borderId="25" xfId="7" applyFont="1" applyFill="1" applyBorder="1" applyAlignment="1">
      <alignment horizontal="center" vertical="center"/>
    </xf>
    <xf numFmtId="0" fontId="9" fillId="7" borderId="19" xfId="7" applyFont="1" applyFill="1" applyBorder="1" applyAlignment="1">
      <alignment horizontal="center" vertical="center"/>
    </xf>
    <xf numFmtId="0" fontId="9" fillId="7" borderId="20" xfId="7" applyFont="1" applyFill="1" applyBorder="1" applyAlignment="1">
      <alignment horizontal="center" vertical="center"/>
    </xf>
    <xf numFmtId="0" fontId="9" fillId="7" borderId="21" xfId="7" applyFont="1" applyFill="1" applyBorder="1" applyAlignment="1">
      <alignment horizontal="center" vertical="center"/>
    </xf>
    <xf numFmtId="0" fontId="23" fillId="8" borderId="0" xfId="7" applyFont="1" applyFill="1" applyAlignment="1">
      <alignment horizontal="center" vertical="center" wrapText="1"/>
    </xf>
    <xf numFmtId="0" fontId="27" fillId="0" borderId="0" xfId="7" applyFont="1" applyAlignment="1">
      <alignment horizontal="center" vertical="center" wrapText="1"/>
    </xf>
    <xf numFmtId="0" fontId="29" fillId="0" borderId="0" xfId="7" applyFont="1" applyAlignment="1">
      <alignment horizontal="right" vertical="center" wrapText="1"/>
    </xf>
    <xf numFmtId="0" fontId="29" fillId="0" borderId="13" xfId="7" applyFont="1" applyBorder="1" applyAlignment="1">
      <alignment horizontal="right" vertical="center" wrapText="1"/>
    </xf>
    <xf numFmtId="0" fontId="43" fillId="10" borderId="0" xfId="0" applyFont="1" applyFill="1" applyBorder="1" applyAlignment="1">
      <alignment horizontal="center" vertical="center"/>
    </xf>
  </cellXfs>
  <cellStyles count="18">
    <cellStyle name="20% - Énfasis5" xfId="15" builtinId="46"/>
    <cellStyle name="Comma 2" xfId="3"/>
    <cellStyle name="Comma 2 2" xfId="6"/>
    <cellStyle name="Comma 2 3" xfId="11"/>
    <cellStyle name="Hipervínculo" xfId="2" builtinId="8"/>
    <cellStyle name="Millares" xfId="8" builtinId="3"/>
    <cellStyle name="Normal" xfId="0" builtinId="0"/>
    <cellStyle name="Normal 2" xfId="4"/>
    <cellStyle name="Normal 2 2" xfId="5"/>
    <cellStyle name="Normal 2 3" xfId="17"/>
    <cellStyle name="Normal 3" xfId="7"/>
    <cellStyle name="Normal 3 2" xfId="16"/>
    <cellStyle name="Normal 4" xfId="12"/>
    <cellStyle name="Percent 10 2" xfId="9"/>
    <cellStyle name="Percent 2" xfId="10"/>
    <cellStyle name="Porcentaje" xfId="1" builtinId="5"/>
    <cellStyle name="常规 2" xfId="13"/>
    <cellStyle name="常规_2014计划单版本1" xfId="14"/>
  </cellStyles>
  <dxfs count="41">
    <dxf>
      <fill>
        <patternFill>
          <bgColor rgb="FFFFC000"/>
        </patternFill>
      </fill>
    </dxf>
    <dxf>
      <font>
        <color theme="0" tint="-4.9989318521683403E-2"/>
      </font>
      <fill>
        <patternFill>
          <bgColor theme="0" tint="-0.14996795556505021"/>
        </patternFill>
      </fill>
    </dxf>
    <dxf>
      <numFmt numFmtId="14" formatCode="0.00%"/>
    </dxf>
    <dxf>
      <numFmt numFmtId="14" formatCode="0.00%"/>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ont>
        <color theme="0" tint="-0.1499679555650502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tint="-0.24994659260841701"/>
      </font>
      <fill>
        <patternFill>
          <bgColor theme="0" tint="-0.34998626667073579"/>
        </patternFill>
      </fill>
    </dxf>
    <dxf>
      <fill>
        <patternFill>
          <bgColor theme="0" tint="-0.2499465926084170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Summary_Tables!$B$16</c:f>
              <c:strCache>
                <c:ptCount val="1"/>
              </c:strCache>
            </c:strRef>
          </c:tx>
          <c:spPr>
            <a:solidFill>
              <a:schemeClr val="accent1"/>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Summary_Tables!$C$16:$H$16</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3DF-46E8-AA38-F8AD281474BE}"/>
            </c:ext>
          </c:extLst>
        </c:ser>
        <c:ser>
          <c:idx val="1"/>
          <c:order val="1"/>
          <c:tx>
            <c:strRef>
              <c:f>Summary_Tables!$B$17</c:f>
              <c:strCache>
                <c:ptCount val="1"/>
              </c:strCache>
            </c:strRef>
          </c:tx>
          <c:spPr>
            <a:solidFill>
              <a:schemeClr val="accent2"/>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Summary_Tables!$C$17:$H$17</c:f>
              <c:numCache>
                <c:formatCode>_(* #,##0_);_(* \(#,##0\);_(* "-"??_);_(@_)</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1-43DF-46E8-AA38-F8AD281474BE}"/>
            </c:ext>
          </c:extLst>
        </c:ser>
        <c:ser>
          <c:idx val="2"/>
          <c:order val="2"/>
          <c:tx>
            <c:strRef>
              <c:f>Summary_Tables!$B$18</c:f>
              <c:strCache>
                <c:ptCount val="1"/>
              </c:strCache>
            </c:strRef>
          </c:tx>
          <c:spPr>
            <a:solidFill>
              <a:schemeClr val="accent3"/>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Summary_Tables!$C$18:$H$18</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F095-4A46-927C-C25C74F5E43E}"/>
            </c:ext>
          </c:extLst>
        </c:ser>
        <c:ser>
          <c:idx val="3"/>
          <c:order val="3"/>
          <c:tx>
            <c:strRef>
              <c:f>Summary_Tables!$B$19</c:f>
              <c:strCache>
                <c:ptCount val="1"/>
              </c:strCache>
            </c:strRef>
          </c:tx>
          <c:spPr>
            <a:solidFill>
              <a:schemeClr val="accent4"/>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Summary_Tables!$C$19:$H$19</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F095-4A46-927C-C25C74F5E43E}"/>
            </c:ext>
          </c:extLst>
        </c:ser>
        <c:ser>
          <c:idx val="4"/>
          <c:order val="4"/>
          <c:tx>
            <c:strRef>
              <c:f>Summary_Tables!$B$20</c:f>
              <c:strCache>
                <c:ptCount val="1"/>
              </c:strCache>
            </c:strRef>
          </c:tx>
          <c:spPr>
            <a:solidFill>
              <a:schemeClr val="accent5"/>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Summary_Tables!$C$20:$H$20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F095-4A46-927C-C25C74F5E43E}"/>
            </c:ext>
          </c:extLst>
        </c:ser>
        <c:ser>
          <c:idx val="5"/>
          <c:order val="5"/>
          <c:tx>
            <c:strRef>
              <c:f>Summary_Tables!$B$21</c:f>
              <c:strCache>
                <c:ptCount val="1"/>
              </c:strCache>
            </c:strRef>
          </c:tx>
          <c:spPr>
            <a:solidFill>
              <a:schemeClr val="accent6"/>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Summary_Tables!$C$21:$H$21</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F095-4A46-927C-C25C74F5E43E}"/>
            </c:ext>
          </c:extLst>
        </c:ser>
        <c:ser>
          <c:idx val="6"/>
          <c:order val="6"/>
          <c:tx>
            <c:strRef>
              <c:f>Summary_Tables!$B$22</c:f>
              <c:strCache>
                <c:ptCount val="1"/>
              </c:strCache>
            </c:strRef>
          </c:tx>
          <c:spPr>
            <a:solidFill>
              <a:schemeClr val="accent1">
                <a:lumMod val="60000"/>
              </a:schemeClr>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Summary_Tables!$C$22:$H$22</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B-F095-4A46-927C-C25C74F5E43E}"/>
            </c:ext>
          </c:extLst>
        </c:ser>
        <c:dLbls>
          <c:showLegendKey val="0"/>
          <c:showVal val="0"/>
          <c:showCatName val="0"/>
          <c:showSerName val="0"/>
          <c:showPercent val="0"/>
          <c:showBubbleSize val="0"/>
        </c:dLbls>
        <c:gapWidth val="219"/>
        <c:overlap val="100"/>
        <c:axId val="78207232"/>
        <c:axId val="78217216"/>
        <c:extLst/>
      </c:barChart>
      <c:catAx>
        <c:axId val="7820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217216"/>
        <c:crosses val="autoZero"/>
        <c:auto val="1"/>
        <c:lblAlgn val="ctr"/>
        <c:lblOffset val="100"/>
        <c:noMultiLvlLbl val="0"/>
      </c:catAx>
      <c:valAx>
        <c:axId val="782172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207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Summary_Tables!$B$27</c:f>
              <c:strCache>
                <c:ptCount val="1"/>
                <c:pt idx="0">
                  <c:v>Promotional</c:v>
                </c:pt>
              </c:strCache>
            </c:strRef>
          </c:tx>
          <c:spPr>
            <a:solidFill>
              <a:schemeClr val="accent2"/>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Summary_Tables!$C$27:$H$27</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DABD-4A6E-80B8-3368BDCD04D3}"/>
            </c:ext>
          </c:extLst>
        </c:ser>
        <c:ser>
          <c:idx val="3"/>
          <c:order val="1"/>
          <c:tx>
            <c:strRef>
              <c:f>Summary_Tables!$B$28</c:f>
              <c:strCache>
                <c:ptCount val="1"/>
                <c:pt idx="0">
                  <c:v>Preventive</c:v>
                </c:pt>
              </c:strCache>
            </c:strRef>
          </c:tx>
          <c:spPr>
            <a:solidFill>
              <a:schemeClr val="accent2">
                <a:lumMod val="60000"/>
              </a:schemeClr>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Summary_Tables!$C$28:$H$28</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DABD-4A6E-80B8-3368BDCD04D3}"/>
            </c:ext>
          </c:extLst>
        </c:ser>
        <c:ser>
          <c:idx val="1"/>
          <c:order val="2"/>
          <c:tx>
            <c:strRef>
              <c:f>Summary_Tables!$B$29</c:f>
              <c:strCache>
                <c:ptCount val="1"/>
                <c:pt idx="0">
                  <c:v>Curative</c:v>
                </c:pt>
              </c:strCache>
            </c:strRef>
          </c:tx>
          <c:spPr>
            <a:solidFill>
              <a:schemeClr val="accent4"/>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Summary_Tables!$C$29:$H$29</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DABD-4A6E-80B8-3368BDCD04D3}"/>
            </c:ext>
          </c:extLst>
        </c:ser>
        <c:ser>
          <c:idx val="2"/>
          <c:order val="3"/>
          <c:tx>
            <c:strRef>
              <c:f>Summary_Tables!$B$30</c:f>
              <c:strCache>
                <c:ptCount val="1"/>
                <c:pt idx="0">
                  <c:v>Rehabilitative </c:v>
                </c:pt>
              </c:strCache>
            </c:strRef>
          </c:tx>
          <c:spPr>
            <a:solidFill>
              <a:schemeClr val="accent6"/>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Summary_Tables!$C$30:$H$30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DABD-4A6E-80B8-3368BDCD04D3}"/>
            </c:ext>
          </c:extLst>
        </c:ser>
        <c:ser>
          <c:idx val="4"/>
          <c:order val="4"/>
          <c:tx>
            <c:strRef>
              <c:f>Summary_Tables!$B$31</c:f>
              <c:strCache>
                <c:ptCount val="1"/>
                <c:pt idx="0">
                  <c:v>Campaigns </c:v>
                </c:pt>
              </c:strCache>
            </c:strRef>
          </c:tx>
          <c:spPr>
            <a:solidFill>
              <a:schemeClr val="accent4">
                <a:lumMod val="60000"/>
              </a:schemeClr>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Summary_Tables!$C$31:$H$31</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DABD-4A6E-80B8-3368BDCD04D3}"/>
            </c:ext>
          </c:extLst>
        </c:ser>
        <c:ser>
          <c:idx val="5"/>
          <c:order val="5"/>
          <c:tx>
            <c:strRef>
              <c:f>Summary_Tables!$B$32</c:f>
              <c:strCache>
                <c:ptCount val="1"/>
                <c:pt idx="0">
                  <c:v>Administrative</c:v>
                </c:pt>
              </c:strCache>
            </c:strRef>
          </c:tx>
          <c:spPr>
            <a:solidFill>
              <a:schemeClr val="accent6">
                <a:lumMod val="60000"/>
              </a:schemeClr>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Summary_Tables!$C$32:$H$32</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DABD-4A6E-80B8-3368BDCD04D3}"/>
            </c:ext>
          </c:extLst>
        </c:ser>
        <c:dLbls>
          <c:showLegendKey val="0"/>
          <c:showVal val="0"/>
          <c:showCatName val="0"/>
          <c:showSerName val="0"/>
          <c:showPercent val="0"/>
          <c:showBubbleSize val="0"/>
        </c:dLbls>
        <c:gapWidth val="150"/>
        <c:overlap val="100"/>
        <c:axId val="563873904"/>
        <c:axId val="358492720"/>
      </c:barChart>
      <c:catAx>
        <c:axId val="56387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358492720"/>
        <c:crosses val="autoZero"/>
        <c:auto val="1"/>
        <c:lblAlgn val="ctr"/>
        <c:lblOffset val="100"/>
        <c:noMultiLvlLbl val="0"/>
      </c:catAx>
      <c:valAx>
        <c:axId val="35849272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56387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Summary_Tables!$B$37</c:f>
              <c:strCache>
                <c:ptCount val="1"/>
                <c:pt idx="0">
                  <c:v>Staff costs </c:v>
                </c:pt>
              </c:strCache>
            </c:strRef>
          </c:tx>
          <c:spPr>
            <a:solidFill>
              <a:schemeClr val="accent1"/>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Summary_Tables!$C$37:$H$37</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F0B3-441C-B67E-214B44E5FBA1}"/>
            </c:ext>
          </c:extLst>
        </c:ser>
        <c:ser>
          <c:idx val="1"/>
          <c:order val="1"/>
          <c:tx>
            <c:strRef>
              <c:f>Summary_Tables!$B$38</c:f>
              <c:strCache>
                <c:ptCount val="1"/>
                <c:pt idx="0">
                  <c:v>Assistive Products and Supplies </c:v>
                </c:pt>
              </c:strCache>
            </c:strRef>
          </c:tx>
          <c:spPr>
            <a:solidFill>
              <a:schemeClr val="accent2"/>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Summary_Tables!$C$38:$H$38</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B-F0B3-441C-B67E-214B44E5FBA1}"/>
            </c:ext>
          </c:extLst>
        </c:ser>
        <c:ser>
          <c:idx val="2"/>
          <c:order val="2"/>
          <c:tx>
            <c:strRef>
              <c:f>Summary_Tables!$B$39</c:f>
              <c:strCache>
                <c:ptCount val="1"/>
                <c:pt idx="0">
                  <c:v>Training Costs </c:v>
                </c:pt>
              </c:strCache>
            </c:strRef>
          </c:tx>
          <c:spPr>
            <a:solidFill>
              <a:schemeClr val="accent3"/>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Summary_Tables!$C$39:$H$39</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0B3-441C-B67E-214B44E5FBA1}"/>
            </c:ext>
          </c:extLst>
        </c:ser>
        <c:ser>
          <c:idx val="3"/>
          <c:order val="3"/>
          <c:tx>
            <c:strRef>
              <c:f>Summary_Tables!$B$40</c:f>
              <c:strCache>
                <c:ptCount val="1"/>
                <c:pt idx="0">
                  <c:v>Equipment</c:v>
                </c:pt>
              </c:strCache>
            </c:strRef>
          </c:tx>
          <c:spPr>
            <a:solidFill>
              <a:schemeClr val="accent4"/>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Summary_Tables!$C$40:$H$40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F0B3-441C-B67E-214B44E5FBA1}"/>
            </c:ext>
          </c:extLst>
        </c:ser>
        <c:ser>
          <c:idx val="4"/>
          <c:order val="4"/>
          <c:tx>
            <c:strRef>
              <c:f>Summary_Tables!$B$41</c:f>
              <c:strCache>
                <c:ptCount val="1"/>
                <c:pt idx="0">
                  <c:v>Other Recurrent Costs</c:v>
                </c:pt>
              </c:strCache>
            </c:strRef>
          </c:tx>
          <c:spPr>
            <a:solidFill>
              <a:schemeClr val="accent5"/>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Summary_Tables!$C$41:$H$41</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F0B3-441C-B67E-214B44E5FBA1}"/>
            </c:ext>
          </c:extLst>
        </c:ser>
        <c:ser>
          <c:idx val="5"/>
          <c:order val="5"/>
          <c:tx>
            <c:strRef>
              <c:f>Summary_Tables!$B$42</c:f>
              <c:strCache>
                <c:ptCount val="1"/>
                <c:pt idx="0">
                  <c:v>Start-up Costs</c:v>
                </c:pt>
              </c:strCache>
            </c:strRef>
          </c:tx>
          <c:spPr>
            <a:solidFill>
              <a:schemeClr val="accent6"/>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Summary_Tables!$C$42:$H$42</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F-F0B3-441C-B67E-214B44E5FBA1}"/>
            </c:ext>
          </c:extLst>
        </c:ser>
        <c:ser>
          <c:idx val="6"/>
          <c:order val="6"/>
          <c:tx>
            <c:strRef>
              <c:f>Summary_Tables!$B$43</c:f>
              <c:strCache>
                <c:ptCount val="1"/>
                <c:pt idx="0">
                  <c:v>Capital Costs</c:v>
                </c:pt>
              </c:strCache>
            </c:strRef>
          </c:tx>
          <c:spPr>
            <a:solidFill>
              <a:schemeClr val="accent1">
                <a:lumMod val="60000"/>
              </a:schemeClr>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Summary_Tables!$C$43:$H$43</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6EA-4093-92C4-D3D6C4FFED52}"/>
            </c:ext>
          </c:extLst>
        </c:ser>
        <c:dLbls>
          <c:showLegendKey val="0"/>
          <c:showVal val="0"/>
          <c:showCatName val="0"/>
          <c:showSerName val="0"/>
          <c:showPercent val="0"/>
          <c:showBubbleSize val="0"/>
        </c:dLbls>
        <c:gapWidth val="150"/>
        <c:overlap val="100"/>
        <c:axId val="78539776"/>
        <c:axId val="78545664"/>
      </c:barChart>
      <c:catAx>
        <c:axId val="7853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545664"/>
        <c:crosses val="autoZero"/>
        <c:auto val="1"/>
        <c:lblAlgn val="ctr"/>
        <c:lblOffset val="100"/>
        <c:noMultiLvlLbl val="0"/>
      </c:catAx>
      <c:valAx>
        <c:axId val="7854566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539776"/>
        <c:crosses val="autoZero"/>
        <c:crossBetween val="between"/>
        <c:dispUnits>
          <c:builtInUnit val="thousands"/>
        </c:dispUnits>
      </c:valAx>
      <c:spPr>
        <a:noFill/>
        <a:ln>
          <a:noFill/>
        </a:ln>
        <a:effectLst/>
      </c:spPr>
    </c:plotArea>
    <c:legend>
      <c:legendPos val="b"/>
      <c:layout>
        <c:manualLayout>
          <c:xMode val="edge"/>
          <c:yMode val="edge"/>
          <c:x val="6.1019084478846936E-2"/>
          <c:y val="0.84824241519573085"/>
          <c:w val="0.85455651941812361"/>
          <c:h val="0.151757584804269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Summary_Tables!$B$64</c:f>
              <c:strCache>
                <c:ptCount val="1"/>
                <c:pt idx="0">
                  <c:v>Staff costs </c:v>
                </c:pt>
              </c:strCache>
            </c:strRef>
          </c:tx>
          <c:spPr>
            <a:solidFill>
              <a:schemeClr val="accent1"/>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Summary_Tables!$C$64:$H$64</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0-0BD4-4AC3-BE51-B42AFA664319}"/>
            </c:ext>
          </c:extLst>
        </c:ser>
        <c:ser>
          <c:idx val="1"/>
          <c:order val="1"/>
          <c:tx>
            <c:strRef>
              <c:f>Summary_Tables!$B$65</c:f>
              <c:strCache>
                <c:ptCount val="1"/>
                <c:pt idx="0">
                  <c:v>Assistive Products and Supplies </c:v>
                </c:pt>
              </c:strCache>
            </c:strRef>
          </c:tx>
          <c:spPr>
            <a:solidFill>
              <a:schemeClr val="accent2"/>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Summary_Tables!$C$65:$H$65</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7-0BD4-4AC3-BE51-B42AFA664319}"/>
            </c:ext>
          </c:extLst>
        </c:ser>
        <c:ser>
          <c:idx val="2"/>
          <c:order val="2"/>
          <c:tx>
            <c:strRef>
              <c:f>Summary_Tables!$B$66</c:f>
              <c:strCache>
                <c:ptCount val="1"/>
                <c:pt idx="0">
                  <c:v>Training Costs </c:v>
                </c:pt>
              </c:strCache>
            </c:strRef>
          </c:tx>
          <c:spPr>
            <a:solidFill>
              <a:schemeClr val="accent3"/>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Summary_Tables!$C$66:$H$66</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8-0BD4-4AC3-BE51-B42AFA664319}"/>
            </c:ext>
          </c:extLst>
        </c:ser>
        <c:ser>
          <c:idx val="3"/>
          <c:order val="3"/>
          <c:tx>
            <c:strRef>
              <c:f>Summary_Tables!$B$67</c:f>
              <c:strCache>
                <c:ptCount val="1"/>
                <c:pt idx="0">
                  <c:v>Equipment</c:v>
                </c:pt>
              </c:strCache>
            </c:strRef>
          </c:tx>
          <c:spPr>
            <a:solidFill>
              <a:schemeClr val="accent4"/>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Summary_Tables!$C$67:$H$67</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9-0BD4-4AC3-BE51-B42AFA664319}"/>
            </c:ext>
          </c:extLst>
        </c:ser>
        <c:ser>
          <c:idx val="4"/>
          <c:order val="4"/>
          <c:tx>
            <c:strRef>
              <c:f>Summary_Tables!$B$68</c:f>
              <c:strCache>
                <c:ptCount val="1"/>
                <c:pt idx="0">
                  <c:v>Other Recurrent Costs</c:v>
                </c:pt>
              </c:strCache>
            </c:strRef>
          </c:tx>
          <c:spPr>
            <a:solidFill>
              <a:schemeClr val="accent5"/>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Summary_Tables!$C$68:$H$68</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A-0BD4-4AC3-BE51-B42AFA664319}"/>
            </c:ext>
          </c:extLst>
        </c:ser>
        <c:ser>
          <c:idx val="5"/>
          <c:order val="5"/>
          <c:tx>
            <c:strRef>
              <c:f>Summary_Tables!$B$69</c:f>
              <c:strCache>
                <c:ptCount val="1"/>
                <c:pt idx="0">
                  <c:v>Start-up Costs</c:v>
                </c:pt>
              </c:strCache>
            </c:strRef>
          </c:tx>
          <c:spPr>
            <a:solidFill>
              <a:schemeClr val="accent6"/>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Summary_Tables!$C$69:$H$69</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B-0BD4-4AC3-BE51-B42AFA664319}"/>
            </c:ext>
          </c:extLst>
        </c:ser>
        <c:ser>
          <c:idx val="6"/>
          <c:order val="6"/>
          <c:tx>
            <c:strRef>
              <c:f>Summary_Tables!$B$70</c:f>
              <c:strCache>
                <c:ptCount val="1"/>
                <c:pt idx="0">
                  <c:v>Capital Costs</c:v>
                </c:pt>
              </c:strCache>
            </c:strRef>
          </c:tx>
          <c:spPr>
            <a:solidFill>
              <a:schemeClr val="accent1">
                <a:lumMod val="60000"/>
              </a:schemeClr>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Summary_Tables!$C$70:$H$70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2AC-4895-BDF8-A5AF73FA4E1B}"/>
            </c:ext>
          </c:extLst>
        </c:ser>
        <c:dLbls>
          <c:showLegendKey val="0"/>
          <c:showVal val="0"/>
          <c:showCatName val="0"/>
          <c:showSerName val="0"/>
          <c:showPercent val="0"/>
          <c:showBubbleSize val="0"/>
        </c:dLbls>
        <c:gapWidth val="150"/>
        <c:overlap val="100"/>
        <c:axId val="79529472"/>
        <c:axId val="79531008"/>
      </c:barChart>
      <c:catAx>
        <c:axId val="7952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9531008"/>
        <c:crosses val="autoZero"/>
        <c:auto val="1"/>
        <c:lblAlgn val="ctr"/>
        <c:lblOffset val="100"/>
        <c:noMultiLvlLbl val="0"/>
      </c:catAx>
      <c:valAx>
        <c:axId val="7953100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9529472"/>
        <c:crosses val="autoZero"/>
        <c:crossBetween val="between"/>
        <c:dispUnits>
          <c:builtInUnit val="thousands"/>
        </c:dispUnits>
      </c:valAx>
      <c:spPr>
        <a:noFill/>
        <a:ln>
          <a:noFill/>
        </a:ln>
        <a:effectLst/>
      </c:spPr>
    </c:plotArea>
    <c:legend>
      <c:legendPos val="b"/>
      <c:layout>
        <c:manualLayout>
          <c:xMode val="edge"/>
          <c:yMode val="edge"/>
          <c:x val="7.8795080341975451E-2"/>
          <c:y val="0.85086121580773966"/>
          <c:w val="0.87305317570217111"/>
          <c:h val="0.149138784192260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Summary_Tables!$B$98</c:f>
              <c:strCache>
                <c:ptCount val="1"/>
                <c:pt idx="0">
                  <c:v>0</c:v>
                </c:pt>
              </c:strCache>
            </c:strRef>
          </c:tx>
          <c:spPr>
            <a:solidFill>
              <a:schemeClr val="accent1"/>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Summary_Tables!$C$98:$H$98</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830F-40A2-A796-5D394F6D33C5}"/>
            </c:ext>
          </c:extLst>
        </c:ser>
        <c:ser>
          <c:idx val="1"/>
          <c:order val="1"/>
          <c:tx>
            <c:strRef>
              <c:f>Summary_Tables!$B$99</c:f>
              <c:strCache>
                <c:ptCount val="1"/>
                <c:pt idx="0">
                  <c:v>0</c:v>
                </c:pt>
              </c:strCache>
            </c:strRef>
          </c:tx>
          <c:spPr>
            <a:solidFill>
              <a:schemeClr val="accent2"/>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Summary_Tables!$C$99:$H$99</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B-830F-40A2-A796-5D394F6D33C5}"/>
            </c:ext>
          </c:extLst>
        </c:ser>
        <c:ser>
          <c:idx val="2"/>
          <c:order val="2"/>
          <c:tx>
            <c:strRef>
              <c:f>Summary_Tables!$B$100</c:f>
              <c:strCache>
                <c:ptCount val="1"/>
                <c:pt idx="0">
                  <c:v>0</c:v>
                </c:pt>
              </c:strCache>
            </c:strRef>
          </c:tx>
          <c:spPr>
            <a:solidFill>
              <a:schemeClr val="accent3"/>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Summary_Tables!$C$100:$H$100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830F-40A2-A796-5D394F6D33C5}"/>
            </c:ext>
          </c:extLst>
        </c:ser>
        <c:dLbls>
          <c:showLegendKey val="0"/>
          <c:showVal val="0"/>
          <c:showCatName val="0"/>
          <c:showSerName val="0"/>
          <c:showPercent val="0"/>
          <c:showBubbleSize val="0"/>
        </c:dLbls>
        <c:gapWidth val="150"/>
        <c:overlap val="100"/>
        <c:axId val="78699904"/>
        <c:axId val="78390400"/>
        <c:extLst/>
      </c:barChart>
      <c:catAx>
        <c:axId val="7869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390400"/>
        <c:crosses val="autoZero"/>
        <c:auto val="1"/>
        <c:lblAlgn val="ctr"/>
        <c:lblOffset val="100"/>
        <c:noMultiLvlLbl val="0"/>
      </c:catAx>
      <c:valAx>
        <c:axId val="7839040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78699904"/>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Summary_Tables!$B$82</c:f>
              <c:strCache>
                <c:ptCount val="1"/>
                <c:pt idx="0">
                  <c:v>Staff costs </c:v>
                </c:pt>
              </c:strCache>
            </c:strRef>
          </c:tx>
          <c:spPr>
            <a:solidFill>
              <a:schemeClr val="accent1"/>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Summary_Tables!$C$82:$H$82</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8730-4409-B8B5-C86D314A67D8}"/>
            </c:ext>
          </c:extLst>
        </c:ser>
        <c:ser>
          <c:idx val="1"/>
          <c:order val="1"/>
          <c:tx>
            <c:strRef>
              <c:f>Summary_Tables!$B$83</c:f>
              <c:strCache>
                <c:ptCount val="1"/>
                <c:pt idx="0">
                  <c:v>Assistive Products and Supplies </c:v>
                </c:pt>
              </c:strCache>
            </c:strRef>
          </c:tx>
          <c:spPr>
            <a:solidFill>
              <a:schemeClr val="accent2"/>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Summary_Tables!$C$83:$H$83</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8730-4409-B8B5-C86D314A67D8}"/>
            </c:ext>
          </c:extLst>
        </c:ser>
        <c:ser>
          <c:idx val="2"/>
          <c:order val="2"/>
          <c:tx>
            <c:strRef>
              <c:f>Summary_Tables!$B$84</c:f>
              <c:strCache>
                <c:ptCount val="1"/>
                <c:pt idx="0">
                  <c:v>Training Costs </c:v>
                </c:pt>
              </c:strCache>
            </c:strRef>
          </c:tx>
          <c:spPr>
            <a:solidFill>
              <a:schemeClr val="accent3"/>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Summary_Tables!$C$84:$H$84</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B-8730-4409-B8B5-C86D314A67D8}"/>
            </c:ext>
          </c:extLst>
        </c:ser>
        <c:ser>
          <c:idx val="3"/>
          <c:order val="3"/>
          <c:tx>
            <c:strRef>
              <c:f>Summary_Tables!$B$85</c:f>
              <c:strCache>
                <c:ptCount val="1"/>
                <c:pt idx="0">
                  <c:v>Equipment</c:v>
                </c:pt>
              </c:strCache>
            </c:strRef>
          </c:tx>
          <c:spPr>
            <a:solidFill>
              <a:schemeClr val="accent4"/>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Summary_Tables!$C$85:$H$85</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8730-4409-B8B5-C86D314A67D8}"/>
            </c:ext>
          </c:extLst>
        </c:ser>
        <c:ser>
          <c:idx val="4"/>
          <c:order val="4"/>
          <c:tx>
            <c:strRef>
              <c:f>Summary_Tables!$B$86</c:f>
              <c:strCache>
                <c:ptCount val="1"/>
                <c:pt idx="0">
                  <c:v>Other Recurrent Costs</c:v>
                </c:pt>
              </c:strCache>
            </c:strRef>
          </c:tx>
          <c:spPr>
            <a:solidFill>
              <a:schemeClr val="accent5"/>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Summary_Tables!$C$86:$H$86</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8730-4409-B8B5-C86D314A67D8}"/>
            </c:ext>
          </c:extLst>
        </c:ser>
        <c:ser>
          <c:idx val="5"/>
          <c:order val="5"/>
          <c:tx>
            <c:strRef>
              <c:f>Summary_Tables!$B$87</c:f>
              <c:strCache>
                <c:ptCount val="1"/>
                <c:pt idx="0">
                  <c:v>Start-up Costs</c:v>
                </c:pt>
              </c:strCache>
            </c:strRef>
          </c:tx>
          <c:spPr>
            <a:solidFill>
              <a:schemeClr val="accent6"/>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Summary_Tables!$C$87:$H$87</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8730-4409-B8B5-C86D314A67D8}"/>
            </c:ext>
          </c:extLst>
        </c:ser>
        <c:ser>
          <c:idx val="6"/>
          <c:order val="6"/>
          <c:tx>
            <c:strRef>
              <c:f>Summary_Tables!$B$88</c:f>
              <c:strCache>
                <c:ptCount val="1"/>
                <c:pt idx="0">
                  <c:v>Capital Costs</c:v>
                </c:pt>
              </c:strCache>
            </c:strRef>
          </c:tx>
          <c:spPr>
            <a:solidFill>
              <a:schemeClr val="accent1">
                <a:lumMod val="60000"/>
              </a:schemeClr>
            </a:solidFill>
            <a:ln>
              <a:noFill/>
            </a:ln>
            <a:effectLst/>
          </c:spPr>
          <c:invertIfNegative val="0"/>
          <c:cat>
            <c:numRef>
              <c:f>Summary_Tables!$C$6:$H$6</c:f>
              <c:numCache>
                <c:formatCode>General</c:formatCode>
                <c:ptCount val="6"/>
                <c:pt idx="0">
                  <c:v>0</c:v>
                </c:pt>
                <c:pt idx="1">
                  <c:v>1</c:v>
                </c:pt>
                <c:pt idx="2">
                  <c:v>2</c:v>
                </c:pt>
                <c:pt idx="3">
                  <c:v>3</c:v>
                </c:pt>
                <c:pt idx="4">
                  <c:v>4</c:v>
                </c:pt>
                <c:pt idx="5">
                  <c:v>5</c:v>
                </c:pt>
              </c:numCache>
            </c:numRef>
          </c:cat>
          <c:val>
            <c:numRef>
              <c:f>Summary_Tables!$C$88:$H$88</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8DC9-4758-8E29-10C6BDBE725B}"/>
            </c:ext>
          </c:extLst>
        </c:ser>
        <c:dLbls>
          <c:showLegendKey val="0"/>
          <c:showVal val="0"/>
          <c:showCatName val="0"/>
          <c:showSerName val="0"/>
          <c:showPercent val="0"/>
          <c:showBubbleSize val="0"/>
        </c:dLbls>
        <c:gapWidth val="150"/>
        <c:overlap val="100"/>
        <c:axId val="80793600"/>
        <c:axId val="80795136"/>
      </c:barChart>
      <c:catAx>
        <c:axId val="8079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80795136"/>
        <c:crosses val="autoZero"/>
        <c:auto val="1"/>
        <c:lblAlgn val="ctr"/>
        <c:lblOffset val="100"/>
        <c:noMultiLvlLbl val="0"/>
      </c:catAx>
      <c:valAx>
        <c:axId val="8079513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80793600"/>
        <c:crosses val="autoZero"/>
        <c:crossBetween val="between"/>
        <c:dispUnits>
          <c:builtInUnit val="thousands"/>
        </c:dispUnits>
      </c:valAx>
      <c:spPr>
        <a:noFill/>
        <a:ln>
          <a:noFill/>
        </a:ln>
        <a:effectLst/>
      </c:spPr>
    </c:plotArea>
    <c:legend>
      <c:legendPos val="b"/>
      <c:layout>
        <c:manualLayout>
          <c:xMode val="edge"/>
          <c:yMode val="edge"/>
          <c:x val="6.2336504811898515E-2"/>
          <c:y val="0.8006959794615639"/>
          <c:w val="0.91467884222805462"/>
          <c:h val="0.166929918672814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11.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2.png"/><Relationship Id="rId4" Type="http://schemas.openxmlformats.org/officeDocument/2006/relationships/hyperlink" Target="#Graphs!A1"/></Relationships>
</file>

<file path=xl/drawings/_rels/drawing1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3.png"/><Relationship Id="rId4" Type="http://schemas.openxmlformats.org/officeDocument/2006/relationships/hyperlink" Target="#Graphs!A1"/></Relationships>
</file>

<file path=xl/drawings/_rels/drawing1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3.png"/><Relationship Id="rId4" Type="http://schemas.openxmlformats.org/officeDocument/2006/relationships/hyperlink" Target="#Graphs!A1"/></Relationships>
</file>

<file path=xl/drawings/_rels/drawing1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11.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4.png"/><Relationship Id="rId4" Type="http://schemas.openxmlformats.org/officeDocument/2006/relationships/hyperlink" Target="#Graphs!A1"/></Relationships>
</file>

<file path=xl/drawings/_rels/drawing1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5.png"/><Relationship Id="rId4" Type="http://schemas.openxmlformats.org/officeDocument/2006/relationships/hyperlink" Target="#Graphs!A1"/></Relationships>
</file>

<file path=xl/drawings/_rels/drawing1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6.png"/><Relationship Id="rId4" Type="http://schemas.openxmlformats.org/officeDocument/2006/relationships/hyperlink" Target="#Graphs!A1"/></Relationships>
</file>

<file path=xl/drawings/_rels/drawing1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3.xml"/><Relationship Id="rId7" Type="http://schemas.openxmlformats.org/officeDocument/2006/relationships/hyperlink" Target="#Guide!A1"/><Relationship Id="rId12" Type="http://schemas.openxmlformats.org/officeDocument/2006/relationships/image" Target="../media/image6.sv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4.png"/><Relationship Id="rId5" Type="http://schemas.openxmlformats.org/officeDocument/2006/relationships/chart" Target="../charts/chart5.xml"/><Relationship Id="rId10" Type="http://schemas.openxmlformats.org/officeDocument/2006/relationships/hyperlink" Target="#Graphs!A1"/><Relationship Id="rId4" Type="http://schemas.openxmlformats.org/officeDocument/2006/relationships/chart" Target="../charts/chart4.xml"/><Relationship Id="rId9" Type="http://schemas.openxmlformats.org/officeDocument/2006/relationships/image" Target="../media/image4.svg"/></Relationships>
</file>

<file path=xl/drawings/_rels/drawing1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4.png"/><Relationship Id="rId4" Type="http://schemas.openxmlformats.org/officeDocument/2006/relationships/hyperlink" Target="#Graphs!A1"/></Relationships>
</file>

<file path=xl/drawings/_rels/drawing18.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8.png"/><Relationship Id="rId1" Type="http://schemas.openxmlformats.org/officeDocument/2006/relationships/hyperlink" Target="#Program_Data!A1"/><Relationship Id="rId5" Type="http://schemas.openxmlformats.org/officeDocument/2006/relationships/image" Target="../media/image12.svg"/><Relationship Id="rId4" Type="http://schemas.openxmlformats.org/officeDocument/2006/relationships/image" Target="../media/image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8.png"/><Relationship Id="rId1" Type="http://schemas.openxmlformats.org/officeDocument/2006/relationships/hyperlink" Target="#Program_Data!A1"/><Relationship Id="rId5" Type="http://schemas.openxmlformats.org/officeDocument/2006/relationships/image" Target="../media/image10.sv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hyperlink" Target="#Graphs!A1"/><Relationship Id="rId13" Type="http://schemas.openxmlformats.org/officeDocument/2006/relationships/hyperlink" Target="#Start_Up_Capital_Costs!A1"/><Relationship Id="rId3" Type="http://schemas.openxmlformats.org/officeDocument/2006/relationships/hyperlink" Target="#Parameters!A1"/><Relationship Id="rId7" Type="http://schemas.openxmlformats.org/officeDocument/2006/relationships/hyperlink" Target="#Summary_Tables!A1"/><Relationship Id="rId12" Type="http://schemas.openxmlformats.org/officeDocument/2006/relationships/hyperlink" Target="#Equipment!A1"/><Relationship Id="rId2" Type="http://schemas.openxmlformats.org/officeDocument/2006/relationships/hyperlink" Target="#Financing!A1"/><Relationship Id="rId1" Type="http://schemas.openxmlformats.org/officeDocument/2006/relationships/hyperlink" Target="#Package_Services!A1"/><Relationship Id="rId6" Type="http://schemas.openxmlformats.org/officeDocument/2006/relationships/hyperlink" Target="#'Scale-up'!A1"/><Relationship Id="rId11" Type="http://schemas.openxmlformats.org/officeDocument/2006/relationships/hyperlink" Target="#Training!A1"/><Relationship Id="rId5" Type="http://schemas.openxmlformats.org/officeDocument/2006/relationships/hyperlink" Target="#Treatment_Guidelines!A1"/><Relationship Id="rId10" Type="http://schemas.openxmlformats.org/officeDocument/2006/relationships/hyperlink" Target="#Other_Recurrent_Costs!A1"/><Relationship Id="rId4" Type="http://schemas.openxmlformats.org/officeDocument/2006/relationships/hyperlink" Target="#Coverage!A1"/><Relationship Id="rId9" Type="http://schemas.openxmlformats.org/officeDocument/2006/relationships/hyperlink" Target="#AP_Quantification!A1"/><Relationship Id="rId14" Type="http://schemas.openxmlformats.org/officeDocument/2006/relationships/hyperlink" Target="#Guide!A1"/></Relationships>
</file>

<file path=xl/drawings/_rels/drawing20.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8.png"/><Relationship Id="rId1" Type="http://schemas.openxmlformats.org/officeDocument/2006/relationships/hyperlink" Target="#Program_Data!A1"/><Relationship Id="rId5" Type="http://schemas.openxmlformats.org/officeDocument/2006/relationships/image" Target="../media/image12.svg"/><Relationship Id="rId4" Type="http://schemas.openxmlformats.org/officeDocument/2006/relationships/image" Target="../media/image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8.png"/><Relationship Id="rId1" Type="http://schemas.openxmlformats.org/officeDocument/2006/relationships/hyperlink" Target="#Program_Data!A1"/><Relationship Id="rId5" Type="http://schemas.openxmlformats.org/officeDocument/2006/relationships/image" Target="../media/image12.svg"/><Relationship Id="rId4" Type="http://schemas.openxmlformats.org/officeDocument/2006/relationships/image" Target="../media/image9.png"/></Relationships>
</file>

<file path=xl/drawings/_rels/drawing22.xml.rels><?xml version="1.0" encoding="UTF-8" standalone="yes"?>
<Relationships xmlns="http://schemas.openxmlformats.org/package/2006/relationships"><Relationship Id="rId13" Type="http://schemas.openxmlformats.org/officeDocument/2006/relationships/image" Target="../media/image29.png"/><Relationship Id="rId18" Type="http://schemas.openxmlformats.org/officeDocument/2006/relationships/image" Target="../media/image34.png"/><Relationship Id="rId26" Type="http://schemas.openxmlformats.org/officeDocument/2006/relationships/image" Target="../media/image42.png"/><Relationship Id="rId3" Type="http://schemas.openxmlformats.org/officeDocument/2006/relationships/image" Target="../media/image19.png"/><Relationship Id="rId21" Type="http://schemas.openxmlformats.org/officeDocument/2006/relationships/image" Target="../media/image37.jpeg"/><Relationship Id="rId34" Type="http://schemas.openxmlformats.org/officeDocument/2006/relationships/image" Target="../media/image50.png"/><Relationship Id="rId7" Type="http://schemas.openxmlformats.org/officeDocument/2006/relationships/image" Target="../media/image23.jpeg"/><Relationship Id="rId12" Type="http://schemas.openxmlformats.org/officeDocument/2006/relationships/image" Target="../media/image28.jpeg"/><Relationship Id="rId17" Type="http://schemas.openxmlformats.org/officeDocument/2006/relationships/image" Target="../media/image33.png"/><Relationship Id="rId25" Type="http://schemas.openxmlformats.org/officeDocument/2006/relationships/image" Target="../media/image41.jpeg"/><Relationship Id="rId33" Type="http://schemas.openxmlformats.org/officeDocument/2006/relationships/image" Target="../media/image49.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29" Type="http://schemas.openxmlformats.org/officeDocument/2006/relationships/image" Target="../media/image45.png"/><Relationship Id="rId1" Type="http://schemas.openxmlformats.org/officeDocument/2006/relationships/image" Target="../media/image17.png"/><Relationship Id="rId6" Type="http://schemas.openxmlformats.org/officeDocument/2006/relationships/image" Target="../media/image22.jpeg"/><Relationship Id="rId11" Type="http://schemas.openxmlformats.org/officeDocument/2006/relationships/image" Target="../media/image27.jpeg"/><Relationship Id="rId24" Type="http://schemas.openxmlformats.org/officeDocument/2006/relationships/image" Target="../media/image40.jpeg"/><Relationship Id="rId32" Type="http://schemas.openxmlformats.org/officeDocument/2006/relationships/image" Target="../media/image48.jpeg"/><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jpeg"/><Relationship Id="rId28" Type="http://schemas.openxmlformats.org/officeDocument/2006/relationships/image" Target="../media/image44.jpeg"/><Relationship Id="rId10" Type="http://schemas.openxmlformats.org/officeDocument/2006/relationships/image" Target="../media/image26.jpeg"/><Relationship Id="rId19" Type="http://schemas.openxmlformats.org/officeDocument/2006/relationships/image" Target="../media/image35.jpeg"/><Relationship Id="rId31" Type="http://schemas.openxmlformats.org/officeDocument/2006/relationships/image" Target="../media/image47.png"/><Relationship Id="rId4" Type="http://schemas.openxmlformats.org/officeDocument/2006/relationships/image" Target="../media/image20.png"/><Relationship Id="rId9" Type="http://schemas.openxmlformats.org/officeDocument/2006/relationships/image" Target="../media/image25.jpeg"/><Relationship Id="rId14" Type="http://schemas.openxmlformats.org/officeDocument/2006/relationships/image" Target="../media/image30.png"/><Relationship Id="rId22" Type="http://schemas.openxmlformats.org/officeDocument/2006/relationships/image" Target="../media/image38.jpeg"/><Relationship Id="rId27" Type="http://schemas.openxmlformats.org/officeDocument/2006/relationships/image" Target="../media/image43.png"/><Relationship Id="rId30" Type="http://schemas.openxmlformats.org/officeDocument/2006/relationships/image" Target="../media/image46.png"/><Relationship Id="rId35" Type="http://schemas.openxmlformats.org/officeDocument/2006/relationships/image" Target="../media/image51.png"/><Relationship Id="rId8" Type="http://schemas.openxmlformats.org/officeDocument/2006/relationships/image" Target="../media/image2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4.png"/><Relationship Id="rId4" Type="http://schemas.openxmlformats.org/officeDocument/2006/relationships/hyperlink" Target="#Graphs!A1"/></Relationships>
</file>

<file path=xl/drawings/_rels/drawing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hyperlink" Target="#Graphs!A1"/></Relationships>
</file>

<file path=xl/drawings/_rels/drawing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4.png"/><Relationship Id="rId4" Type="http://schemas.openxmlformats.org/officeDocument/2006/relationships/hyperlink" Target="#Graphs!A1"/></Relationships>
</file>

<file path=xl/drawings/_rels/drawing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6.png"/><Relationship Id="rId4" Type="http://schemas.openxmlformats.org/officeDocument/2006/relationships/hyperlink" Target="#Graphs!A1"/></Relationships>
</file>

<file path=xl/drawings/_rels/drawing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7.png"/><Relationship Id="rId4" Type="http://schemas.openxmlformats.org/officeDocument/2006/relationships/hyperlink" Target="#Graphs!A1"/></Relationships>
</file>

<file path=xl/drawings/_rels/drawing8.xml.rels><?xml version="1.0" encoding="UTF-8" standalone="yes"?>
<Relationships xmlns="http://schemas.openxmlformats.org/package/2006/relationships"><Relationship Id="rId8" Type="http://schemas.openxmlformats.org/officeDocument/2006/relationships/image" Target="../media/image4.svg"/><Relationship Id="rId3" Type="http://schemas.openxmlformats.org/officeDocument/2006/relationships/image" Target="../media/image8.svg"/><Relationship Id="rId7"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hyperlink" Target="#Program_Data!A1"/><Relationship Id="rId6" Type="http://schemas.openxmlformats.org/officeDocument/2006/relationships/hyperlink" Target="#Guide!A1"/><Relationship Id="rId11" Type="http://schemas.openxmlformats.org/officeDocument/2006/relationships/image" Target="../media/image6.svg"/><Relationship Id="rId5" Type="http://schemas.openxmlformats.org/officeDocument/2006/relationships/image" Target="../media/image10.svg"/><Relationship Id="rId10" Type="http://schemas.openxmlformats.org/officeDocument/2006/relationships/image" Target="../media/image4.png"/><Relationship Id="rId4" Type="http://schemas.openxmlformats.org/officeDocument/2006/relationships/image" Target="../media/image9.png"/><Relationship Id="rId9" Type="http://schemas.openxmlformats.org/officeDocument/2006/relationships/hyperlink" Target="#Graphs!A1"/></Relationships>
</file>

<file path=xl/drawings/_rels/drawing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Guide!A1"/><Relationship Id="rId6" Type="http://schemas.openxmlformats.org/officeDocument/2006/relationships/image" Target="../media/image6.svg"/><Relationship Id="rId5" Type="http://schemas.openxmlformats.org/officeDocument/2006/relationships/image" Target="../media/image10.png"/><Relationship Id="rId4" Type="http://schemas.openxmlformats.org/officeDocument/2006/relationships/hyperlink" Target="#Graphs!A1"/></Relationships>
</file>

<file path=xl/drawings/drawing1.xml><?xml version="1.0" encoding="utf-8"?>
<xdr:wsDr xmlns:xdr="http://schemas.openxmlformats.org/drawingml/2006/spreadsheetDrawing" xmlns:a="http://schemas.openxmlformats.org/drawingml/2006/main">
  <xdr:twoCellAnchor editAs="oneCell">
    <xdr:from>
      <xdr:col>2</xdr:col>
      <xdr:colOff>507999</xdr:colOff>
      <xdr:row>14</xdr:row>
      <xdr:rowOff>94824</xdr:rowOff>
    </xdr:from>
    <xdr:to>
      <xdr:col>7</xdr:col>
      <xdr:colOff>142873</xdr:colOff>
      <xdr:row>26</xdr:row>
      <xdr:rowOff>867</xdr:rowOff>
    </xdr:to>
    <xdr:pic>
      <xdr:nvPicPr>
        <xdr:cNvPr id="2" name="Picture 1">
          <a:extLst>
            <a:ext uri="{FF2B5EF4-FFF2-40B4-BE49-F238E27FC236}">
              <a16:creationId xmlns:a16="http://schemas.microsoft.com/office/drawing/2014/main" id="{7342F331-1A05-4C9D-925C-B2D7653F87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8199" y="3028524"/>
          <a:ext cx="3013074" cy="2115843"/>
        </a:xfrm>
        <a:prstGeom prst="rect">
          <a:avLst/>
        </a:prstGeom>
      </xdr:spPr>
    </xdr:pic>
    <xdr:clientData/>
  </xdr:twoCellAnchor>
  <xdr:twoCellAnchor editAs="oneCell">
    <xdr:from>
      <xdr:col>9</xdr:col>
      <xdr:colOff>95251</xdr:colOff>
      <xdr:row>17</xdr:row>
      <xdr:rowOff>32728</xdr:rowOff>
    </xdr:from>
    <xdr:to>
      <xdr:col>14</xdr:col>
      <xdr:colOff>47627</xdr:colOff>
      <xdr:row>22</xdr:row>
      <xdr:rowOff>103187</xdr:rowOff>
    </xdr:to>
    <xdr:pic>
      <xdr:nvPicPr>
        <xdr:cNvPr id="3" name="Picture 2" descr="ATscale’s logo">
          <a:extLst>
            <a:ext uri="{FF2B5EF4-FFF2-40B4-BE49-F238E27FC236}">
              <a16:creationId xmlns:a16="http://schemas.microsoft.com/office/drawing/2014/main" id="{1895EE58-C312-48A0-A660-F1D83570ED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67451" y="3518878"/>
          <a:ext cx="2936876" cy="991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81520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C1F3039C-8273-4506-881C-E2421196CE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01813" y="0"/>
          <a:ext cx="557389" cy="557770"/>
        </a:xfrm>
        <a:prstGeom prst="rect">
          <a:avLst/>
        </a:prstGeom>
      </xdr:spPr>
    </xdr:pic>
    <xdr:clientData/>
  </xdr:twoCellAnchor>
  <xdr:twoCellAnchor editAs="oneCell">
    <xdr:from>
      <xdr:col>2</xdr:col>
      <xdr:colOff>1190625</xdr:colOff>
      <xdr:row>0</xdr:row>
      <xdr:rowOff>7937</xdr:rowOff>
    </xdr:from>
    <xdr:to>
      <xdr:col>3</xdr:col>
      <xdr:colOff>162279</xdr:colOff>
      <xdr:row>2</xdr:row>
      <xdr:rowOff>141472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FD17EDF5-2535-435A-A328-8B1EB6B0D62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2992438" y="7937"/>
          <a:ext cx="606778" cy="6097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A7D289CD-9075-4272-AC2E-CBA31A300E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4460875" y="0"/>
          <a:ext cx="557389" cy="557770"/>
        </a:xfrm>
        <a:prstGeom prst="rect">
          <a:avLst/>
        </a:prstGeom>
      </xdr:spPr>
    </xdr:pic>
    <xdr:clientData/>
  </xdr:twoCellAnchor>
  <xdr:twoCellAnchor editAs="oneCell">
    <xdr:from>
      <xdr:col>3</xdr:col>
      <xdr:colOff>1190625</xdr:colOff>
      <xdr:row>0</xdr:row>
      <xdr:rowOff>7937</xdr:rowOff>
    </xdr:from>
    <xdr:to>
      <xdr:col>4</xdr:col>
      <xdr:colOff>67028</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61F7C020-8A9B-4362-97BF-94BFD2D950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5651500" y="7937"/>
          <a:ext cx="606778" cy="6097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9BA999FF-D7A8-42FF-A0A6-4D7EE39A2F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960688" y="0"/>
          <a:ext cx="557389" cy="557770"/>
        </a:xfrm>
        <a:prstGeom prst="rect">
          <a:avLst/>
        </a:prstGeom>
      </xdr:spPr>
    </xdr:pic>
    <xdr:clientData/>
  </xdr:twoCellAnchor>
  <xdr:twoCellAnchor editAs="oneCell">
    <xdr:from>
      <xdr:col>2</xdr:col>
      <xdr:colOff>1190625</xdr:colOff>
      <xdr:row>0</xdr:row>
      <xdr:rowOff>7937</xdr:rowOff>
    </xdr:from>
    <xdr:to>
      <xdr:col>3</xdr:col>
      <xdr:colOff>305153</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524A1BC0-AB10-4BE7-B5AD-6F11B82DBD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4151313" y="7937"/>
          <a:ext cx="606778" cy="6097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81520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E44C8F8F-3F5C-4819-987B-FC0C14465C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3484563" y="0"/>
          <a:ext cx="557389" cy="557770"/>
        </a:xfrm>
        <a:prstGeom prst="rect">
          <a:avLst/>
        </a:prstGeom>
      </xdr:spPr>
    </xdr:pic>
    <xdr:clientData/>
  </xdr:twoCellAnchor>
  <xdr:twoCellAnchor editAs="oneCell">
    <xdr:from>
      <xdr:col>2</xdr:col>
      <xdr:colOff>1190625</xdr:colOff>
      <xdr:row>0</xdr:row>
      <xdr:rowOff>7937</xdr:rowOff>
    </xdr:from>
    <xdr:to>
      <xdr:col>3</xdr:col>
      <xdr:colOff>392466</xdr:colOff>
      <xdr:row>2</xdr:row>
      <xdr:rowOff>141472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B36779EF-0F1B-4D72-A458-C9426197BA8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4675188" y="7937"/>
          <a:ext cx="606778" cy="6097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557389</xdr:colOff>
      <xdr:row>2</xdr:row>
      <xdr:rowOff>21548</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C6B253F9-BBEC-45D0-A4BD-3E3CD540C1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582333" y="0"/>
          <a:ext cx="557389" cy="557770"/>
        </a:xfrm>
        <a:prstGeom prst="rect">
          <a:avLst/>
        </a:prstGeom>
      </xdr:spPr>
    </xdr:pic>
    <xdr:clientData/>
  </xdr:twoCellAnchor>
  <xdr:twoCellAnchor editAs="oneCell">
    <xdr:from>
      <xdr:col>3</xdr:col>
      <xdr:colOff>1190625</xdr:colOff>
      <xdr:row>0</xdr:row>
      <xdr:rowOff>7937</xdr:rowOff>
    </xdr:from>
    <xdr:to>
      <xdr:col>3</xdr:col>
      <xdr:colOff>1797403</xdr:colOff>
      <xdr:row>2</xdr:row>
      <xdr:rowOff>81500</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0F21C06E-E29B-40BF-808E-86DC6368DE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3772958" y="7937"/>
          <a:ext cx="606778" cy="6097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21548</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634BD948-1A15-4C82-BFCC-37E17659B5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722056" y="0"/>
          <a:ext cx="557389" cy="557770"/>
        </a:xfrm>
        <a:prstGeom prst="rect">
          <a:avLst/>
        </a:prstGeom>
      </xdr:spPr>
    </xdr:pic>
    <xdr:clientData/>
  </xdr:twoCellAnchor>
  <xdr:twoCellAnchor editAs="oneCell">
    <xdr:from>
      <xdr:col>3</xdr:col>
      <xdr:colOff>294570</xdr:colOff>
      <xdr:row>0</xdr:row>
      <xdr:rowOff>7937</xdr:rowOff>
    </xdr:from>
    <xdr:to>
      <xdr:col>4</xdr:col>
      <xdr:colOff>5292</xdr:colOff>
      <xdr:row>2</xdr:row>
      <xdr:rowOff>81500</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414317B2-D2EB-40BA-9FF0-156612F4A7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912681" y="7937"/>
          <a:ext cx="606778" cy="6097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603251</xdr:colOff>
      <xdr:row>7</xdr:row>
      <xdr:rowOff>7938</xdr:rowOff>
    </xdr:from>
    <xdr:to>
      <xdr:col>9</xdr:col>
      <xdr:colOff>603250</xdr:colOff>
      <xdr:row>25</xdr:row>
      <xdr:rowOff>130882</xdr:rowOff>
    </xdr:to>
    <xdr:graphicFrame macro="">
      <xdr:nvGraphicFramePr>
        <xdr:cNvPr id="4" name="Chart 3">
          <a:extLst>
            <a:ext uri="{FF2B5EF4-FFF2-40B4-BE49-F238E27FC236}">
              <a16:creationId xmlns:a16="http://schemas.microsoft.com/office/drawing/2014/main" id="{E1E87A14-0C72-4272-BA10-4B4D53C4A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15875</xdr:colOff>
      <xdr:row>7</xdr:row>
      <xdr:rowOff>7937</xdr:rowOff>
    </xdr:from>
    <xdr:to>
      <xdr:col>21</xdr:col>
      <xdr:colOff>1</xdr:colOff>
      <xdr:row>25</xdr:row>
      <xdr:rowOff>119062</xdr:rowOff>
    </xdr:to>
    <xdr:graphicFrame macro="">
      <xdr:nvGraphicFramePr>
        <xdr:cNvPr id="8" name="Chart 7">
          <a:extLst>
            <a:ext uri="{FF2B5EF4-FFF2-40B4-BE49-F238E27FC236}">
              <a16:creationId xmlns:a16="http://schemas.microsoft.com/office/drawing/2014/main" id="{ACB370A0-1BB5-4B8F-A282-32930E879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7937</xdr:colOff>
      <xdr:row>28</xdr:row>
      <xdr:rowOff>7938</xdr:rowOff>
    </xdr:from>
    <xdr:to>
      <xdr:col>9</xdr:col>
      <xdr:colOff>595312</xdr:colOff>
      <xdr:row>46</xdr:row>
      <xdr:rowOff>71438</xdr:rowOff>
    </xdr:to>
    <xdr:graphicFrame macro="">
      <xdr:nvGraphicFramePr>
        <xdr:cNvPr id="5" name="Chart 4">
          <a:extLst>
            <a:ext uri="{FF2B5EF4-FFF2-40B4-BE49-F238E27FC236}">
              <a16:creationId xmlns:a16="http://schemas.microsoft.com/office/drawing/2014/main" id="{15E750D0-EEA7-475E-B7E5-2F3E9A1AC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7936</xdr:colOff>
      <xdr:row>28</xdr:row>
      <xdr:rowOff>7937</xdr:rowOff>
    </xdr:from>
    <xdr:to>
      <xdr:col>21</xdr:col>
      <xdr:colOff>7937</xdr:colOff>
      <xdr:row>46</xdr:row>
      <xdr:rowOff>71437</xdr:rowOff>
    </xdr:to>
    <xdr:graphicFrame macro="">
      <xdr:nvGraphicFramePr>
        <xdr:cNvPr id="6" name="Chart 5">
          <a:extLst>
            <a:ext uri="{FF2B5EF4-FFF2-40B4-BE49-F238E27FC236}">
              <a16:creationId xmlns:a16="http://schemas.microsoft.com/office/drawing/2014/main" id="{03C2E2E7-6FC6-47C2-92D3-50D1943A5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50</xdr:row>
      <xdr:rowOff>0</xdr:rowOff>
    </xdr:from>
    <xdr:to>
      <xdr:col>9</xdr:col>
      <xdr:colOff>595312</xdr:colOff>
      <xdr:row>67</xdr:row>
      <xdr:rowOff>26987</xdr:rowOff>
    </xdr:to>
    <xdr:graphicFrame macro="">
      <xdr:nvGraphicFramePr>
        <xdr:cNvPr id="7" name="Chart 6">
          <a:extLst>
            <a:ext uri="{FF2B5EF4-FFF2-40B4-BE49-F238E27FC236}">
              <a16:creationId xmlns:a16="http://schemas.microsoft.com/office/drawing/2014/main" id="{D9ABC819-C3A5-4422-84DF-114267C7F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50</xdr:row>
      <xdr:rowOff>0</xdr:rowOff>
    </xdr:from>
    <xdr:to>
      <xdr:col>20</xdr:col>
      <xdr:colOff>596900</xdr:colOff>
      <xdr:row>67</xdr:row>
      <xdr:rowOff>34749</xdr:rowOff>
    </xdr:to>
    <xdr:graphicFrame macro="">
      <xdr:nvGraphicFramePr>
        <xdr:cNvPr id="9" name="Chart 8">
          <a:extLst>
            <a:ext uri="{FF2B5EF4-FFF2-40B4-BE49-F238E27FC236}">
              <a16:creationId xmlns:a16="http://schemas.microsoft.com/office/drawing/2014/main" id="{0CDA359B-D75B-4158-8419-7A85136EE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0</xdr:row>
      <xdr:rowOff>0</xdr:rowOff>
    </xdr:from>
    <xdr:to>
      <xdr:col>8</xdr:col>
      <xdr:colOff>557389</xdr:colOff>
      <xdr:row>2</xdr:row>
      <xdr:rowOff>18020</xdr:rowOff>
    </xdr:to>
    <xdr:pic>
      <xdr:nvPicPr>
        <xdr:cNvPr id="10" name="Graphic 9" descr="Home">
          <a:hlinkClick xmlns:r="http://schemas.openxmlformats.org/officeDocument/2006/relationships" r:id="rId7" tooltip="Go to Guide"/>
          <a:extLst>
            <a:ext uri="{FF2B5EF4-FFF2-40B4-BE49-F238E27FC236}">
              <a16:creationId xmlns:a16="http://schemas.microsoft.com/office/drawing/2014/main" id="{9800EECD-EBEE-40C0-A90C-F59ACB7A849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5032375" y="0"/>
          <a:ext cx="557389" cy="557770"/>
        </a:xfrm>
        <a:prstGeom prst="rect">
          <a:avLst/>
        </a:prstGeom>
      </xdr:spPr>
    </xdr:pic>
    <xdr:clientData/>
  </xdr:twoCellAnchor>
  <xdr:twoCellAnchor editAs="oneCell">
    <xdr:from>
      <xdr:col>9</xdr:col>
      <xdr:colOff>579437</xdr:colOff>
      <xdr:row>0</xdr:row>
      <xdr:rowOff>7937</xdr:rowOff>
    </xdr:from>
    <xdr:to>
      <xdr:col>10</xdr:col>
      <xdr:colOff>575028</xdr:colOff>
      <xdr:row>2</xdr:row>
      <xdr:rowOff>77972</xdr:rowOff>
    </xdr:to>
    <xdr:pic>
      <xdr:nvPicPr>
        <xdr:cNvPr id="11" name="Graphic 10" descr="Presentation with pie chart">
          <a:hlinkClick xmlns:r="http://schemas.openxmlformats.org/officeDocument/2006/relationships" r:id="rId10" tooltip="Go to Results"/>
          <a:extLst>
            <a:ext uri="{FF2B5EF4-FFF2-40B4-BE49-F238E27FC236}">
              <a16:creationId xmlns:a16="http://schemas.microsoft.com/office/drawing/2014/main" id="{A555CAFD-6433-4FEF-B407-82C85DBFD71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6223000" y="7937"/>
          <a:ext cx="606778" cy="6097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500DEA86-D0FD-4D6B-A40D-0B8BBEB65A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167313" y="0"/>
          <a:ext cx="557389" cy="557770"/>
        </a:xfrm>
        <a:prstGeom prst="rect">
          <a:avLst/>
        </a:prstGeom>
      </xdr:spPr>
    </xdr:pic>
    <xdr:clientData/>
  </xdr:twoCellAnchor>
  <xdr:twoCellAnchor editAs="oneCell">
    <xdr:from>
      <xdr:col>7</xdr:col>
      <xdr:colOff>150813</xdr:colOff>
      <xdr:row>0</xdr:row>
      <xdr:rowOff>7937</xdr:rowOff>
    </xdr:from>
    <xdr:to>
      <xdr:col>7</xdr:col>
      <xdr:colOff>757591</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1CED3313-A91B-4C3D-8DA6-5A6512ED5A2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357938" y="7937"/>
          <a:ext cx="606778" cy="6097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3532</xdr:colOff>
      <xdr:row>2</xdr:row>
      <xdr:rowOff>0</xdr:rowOff>
    </xdr:from>
    <xdr:to>
      <xdr:col>3</xdr:col>
      <xdr:colOff>3532</xdr:colOff>
      <xdr:row>2</xdr:row>
      <xdr:rowOff>4233</xdr:rowOff>
    </xdr:to>
    <xdr:grpSp>
      <xdr:nvGrpSpPr>
        <xdr:cNvPr id="2" name="Group 1">
          <a:hlinkClick xmlns:r="http://schemas.openxmlformats.org/officeDocument/2006/relationships" r:id="rId1" tooltip="Go to Data Entry (Program Data)"/>
          <a:extLst>
            <a:ext uri="{FF2B5EF4-FFF2-40B4-BE49-F238E27FC236}">
              <a16:creationId xmlns:a16="http://schemas.microsoft.com/office/drawing/2014/main" id="{EBC32020-671E-4DD0-AFBD-65DD84B43F3F}"/>
            </a:ext>
          </a:extLst>
        </xdr:cNvPr>
        <xdr:cNvGrpSpPr/>
      </xdr:nvGrpSpPr>
      <xdr:grpSpPr>
        <a:xfrm>
          <a:off x="3980220" y="539750"/>
          <a:ext cx="0" cy="4233"/>
          <a:chOff x="1504665" y="525780"/>
          <a:chExt cx="914400" cy="1106734"/>
        </a:xfrm>
        <a:solidFill>
          <a:schemeClr val="accent4">
            <a:lumMod val="20000"/>
            <a:lumOff val="80000"/>
          </a:schemeClr>
        </a:solidFill>
      </xdr:grpSpPr>
      <xdr:pic>
        <xdr:nvPicPr>
          <xdr:cNvPr id="3" name="Graphic 2" descr="Pencil">
            <a:extLst>
              <a:ext uri="{FF2B5EF4-FFF2-40B4-BE49-F238E27FC236}">
                <a16:creationId xmlns:a16="http://schemas.microsoft.com/office/drawing/2014/main" id="{C39B23B5-7586-48C2-A1AD-A02251CD55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4" name="Graphic 3" descr="Open book">
            <a:extLst>
              <a:ext uri="{FF2B5EF4-FFF2-40B4-BE49-F238E27FC236}">
                <a16:creationId xmlns:a16="http://schemas.microsoft.com/office/drawing/2014/main" id="{2A39A199-403F-4FA6-ADCA-1B6847FC95F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3532</xdr:colOff>
      <xdr:row>2</xdr:row>
      <xdr:rowOff>0</xdr:rowOff>
    </xdr:from>
    <xdr:to>
      <xdr:col>3</xdr:col>
      <xdr:colOff>3532</xdr:colOff>
      <xdr:row>2</xdr:row>
      <xdr:rowOff>4233</xdr:rowOff>
    </xdr:to>
    <xdr:grpSp>
      <xdr:nvGrpSpPr>
        <xdr:cNvPr id="2" name="Group 1">
          <a:hlinkClick xmlns:r="http://schemas.openxmlformats.org/officeDocument/2006/relationships" r:id="rId1" tooltip="Go to Data Entry (Program Data)"/>
          <a:extLst>
            <a:ext uri="{FF2B5EF4-FFF2-40B4-BE49-F238E27FC236}">
              <a16:creationId xmlns:a16="http://schemas.microsoft.com/office/drawing/2014/main" id="{782255B5-A082-46CE-9E0C-3319AE79BF02}"/>
            </a:ext>
          </a:extLst>
        </xdr:cNvPr>
        <xdr:cNvGrpSpPr/>
      </xdr:nvGrpSpPr>
      <xdr:grpSpPr>
        <a:xfrm>
          <a:off x="4996220" y="539750"/>
          <a:ext cx="0" cy="4233"/>
          <a:chOff x="1504665" y="525780"/>
          <a:chExt cx="914400" cy="1106734"/>
        </a:xfrm>
        <a:solidFill>
          <a:schemeClr val="accent4">
            <a:lumMod val="20000"/>
            <a:lumOff val="80000"/>
          </a:schemeClr>
        </a:solidFill>
      </xdr:grpSpPr>
      <xdr:pic>
        <xdr:nvPicPr>
          <xdr:cNvPr id="3" name="Graphic 2" descr="Pencil">
            <a:extLst>
              <a:ext uri="{FF2B5EF4-FFF2-40B4-BE49-F238E27FC236}">
                <a16:creationId xmlns:a16="http://schemas.microsoft.com/office/drawing/2014/main" id="{147FB2B5-83BE-4B27-8C96-B3730F1564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4" name="Graphic 3" descr="Open book">
            <a:extLst>
              <a:ext uri="{FF2B5EF4-FFF2-40B4-BE49-F238E27FC236}">
                <a16:creationId xmlns:a16="http://schemas.microsoft.com/office/drawing/2014/main" id="{8567CF13-C60D-4051-88B0-BA5F079A78D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500380</xdr:colOff>
      <xdr:row>13</xdr:row>
      <xdr:rowOff>50800</xdr:rowOff>
    </xdr:from>
    <xdr:to>
      <xdr:col>6</xdr:col>
      <xdr:colOff>328930</xdr:colOff>
      <xdr:row>15</xdr:row>
      <xdr:rowOff>3175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E7D2084-44E2-478C-971F-10DC5A809A04}"/>
            </a:ext>
          </a:extLst>
        </xdr:cNvPr>
        <xdr:cNvSpPr/>
      </xdr:nvSpPr>
      <xdr:spPr>
        <a:xfrm>
          <a:off x="2329180" y="1708150"/>
          <a:ext cx="1657350" cy="320675"/>
        </a:xfrm>
        <a:prstGeom prst="rect">
          <a:avLst/>
        </a:prstGeom>
        <a:solidFill>
          <a:schemeClr val="accent6">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Service</a:t>
          </a:r>
          <a:r>
            <a:rPr lang="en-US" sz="1200" b="1" baseline="0">
              <a:solidFill>
                <a:schemeClr val="bg1"/>
              </a:solidFill>
            </a:rPr>
            <a:t> Package</a:t>
          </a:r>
          <a:endParaRPr lang="en-US" sz="1200" b="1">
            <a:solidFill>
              <a:schemeClr val="bg1"/>
            </a:solidFill>
          </a:endParaRPr>
        </a:p>
      </xdr:txBody>
    </xdr:sp>
    <xdr:clientData/>
  </xdr:twoCellAnchor>
  <xdr:twoCellAnchor>
    <xdr:from>
      <xdr:col>13</xdr:col>
      <xdr:colOff>73446</xdr:colOff>
      <xdr:row>18</xdr:row>
      <xdr:rowOff>120015</xdr:rowOff>
    </xdr:from>
    <xdr:to>
      <xdr:col>15</xdr:col>
      <xdr:colOff>505599</xdr:colOff>
      <xdr:row>20</xdr:row>
      <xdr:rowOff>72390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36E71A48-994C-45DA-ADDF-9289167E4DB1}"/>
            </a:ext>
          </a:extLst>
        </xdr:cNvPr>
        <xdr:cNvSpPr/>
      </xdr:nvSpPr>
      <xdr:spPr>
        <a:xfrm>
          <a:off x="7961557" y="3633682"/>
          <a:ext cx="1645709" cy="319264"/>
        </a:xfrm>
        <a:prstGeom prst="rect">
          <a:avLst/>
        </a:prstGeom>
        <a:solidFill>
          <a:schemeClr val="accent1">
            <a:lumMod val="20000"/>
            <a:lumOff val="8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Financing</a:t>
          </a:r>
        </a:p>
      </xdr:txBody>
    </xdr:sp>
    <xdr:clientData/>
  </xdr:twoCellAnchor>
  <xdr:twoCellAnchor>
    <xdr:from>
      <xdr:col>5</xdr:col>
      <xdr:colOff>538480</xdr:colOff>
      <xdr:row>7</xdr:row>
      <xdr:rowOff>73025</xdr:rowOff>
    </xdr:from>
    <xdr:to>
      <xdr:col>8</xdr:col>
      <xdr:colOff>367030</xdr:colOff>
      <xdr:row>9</xdr:row>
      <xdr:rowOff>25400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8F8471A6-EC33-4D71-89E6-2DAF60840C02}"/>
            </a:ext>
          </a:extLst>
        </xdr:cNvPr>
        <xdr:cNvSpPr/>
      </xdr:nvSpPr>
      <xdr:spPr>
        <a:xfrm>
          <a:off x="3586480" y="625475"/>
          <a:ext cx="1657350" cy="320675"/>
        </a:xfrm>
        <a:prstGeom prst="rect">
          <a:avLst/>
        </a:prstGeom>
        <a:solidFill>
          <a:srgbClr val="002060"/>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Parameters</a:t>
          </a:r>
        </a:p>
      </xdr:txBody>
    </xdr:sp>
    <xdr:clientData/>
  </xdr:twoCellAnchor>
  <xdr:twoCellAnchor>
    <xdr:from>
      <xdr:col>6</xdr:col>
      <xdr:colOff>367030</xdr:colOff>
      <xdr:row>13</xdr:row>
      <xdr:rowOff>53975</xdr:rowOff>
    </xdr:from>
    <xdr:to>
      <xdr:col>9</xdr:col>
      <xdr:colOff>195580</xdr:colOff>
      <xdr:row>15</xdr:row>
      <xdr:rowOff>6350</xdr:rowOff>
    </xdr:to>
    <xdr:sp macro="" textlink="">
      <xdr:nvSpPr>
        <xdr:cNvPr id="8" name="Rectangle 7">
          <a:hlinkClick xmlns:r="http://schemas.openxmlformats.org/officeDocument/2006/relationships" r:id="rId4"/>
          <a:extLst>
            <a:ext uri="{FF2B5EF4-FFF2-40B4-BE49-F238E27FC236}">
              <a16:creationId xmlns:a16="http://schemas.microsoft.com/office/drawing/2014/main" id="{E75DB85A-AF62-4A95-8B69-681E4D7B7D2F}"/>
            </a:ext>
          </a:extLst>
        </xdr:cNvPr>
        <xdr:cNvSpPr/>
      </xdr:nvSpPr>
      <xdr:spPr>
        <a:xfrm>
          <a:off x="4024630" y="1711325"/>
          <a:ext cx="1657350" cy="320675"/>
        </a:xfrm>
        <a:prstGeom prst="rect">
          <a:avLst/>
        </a:prstGeom>
        <a:solidFill>
          <a:schemeClr val="accent6">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Coverage</a:t>
          </a:r>
        </a:p>
      </xdr:txBody>
    </xdr:sp>
    <xdr:clientData/>
  </xdr:twoCellAnchor>
  <xdr:twoCellAnchor>
    <xdr:from>
      <xdr:col>9</xdr:col>
      <xdr:colOff>241300</xdr:colOff>
      <xdr:row>13</xdr:row>
      <xdr:rowOff>53975</xdr:rowOff>
    </xdr:from>
    <xdr:to>
      <xdr:col>12</xdr:col>
      <xdr:colOff>596900</xdr:colOff>
      <xdr:row>15</xdr:row>
      <xdr:rowOff>6350</xdr:rowOff>
    </xdr:to>
    <xdr:sp macro="" textlink="">
      <xdr:nvSpPr>
        <xdr:cNvPr id="9" name="Rectangle 8">
          <a:hlinkClick xmlns:r="http://schemas.openxmlformats.org/officeDocument/2006/relationships" r:id="rId5"/>
          <a:extLst>
            <a:ext uri="{FF2B5EF4-FFF2-40B4-BE49-F238E27FC236}">
              <a16:creationId xmlns:a16="http://schemas.microsoft.com/office/drawing/2014/main" id="{D170A242-31BE-4949-8EBC-457B9E7A60DC}"/>
            </a:ext>
          </a:extLst>
        </xdr:cNvPr>
        <xdr:cNvSpPr/>
      </xdr:nvSpPr>
      <xdr:spPr>
        <a:xfrm>
          <a:off x="5727700" y="1711325"/>
          <a:ext cx="2184400" cy="320675"/>
        </a:xfrm>
        <a:prstGeom prst="rect">
          <a:avLst/>
        </a:prstGeom>
        <a:solidFill>
          <a:schemeClr val="accent6">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Standard</a:t>
          </a:r>
          <a:r>
            <a:rPr lang="en-US" sz="1200" b="1" baseline="0">
              <a:solidFill>
                <a:schemeClr val="bg1"/>
              </a:solidFill>
            </a:rPr>
            <a:t> Treatment Guidelines</a:t>
          </a:r>
          <a:endParaRPr lang="en-US" sz="1200" b="1">
            <a:solidFill>
              <a:schemeClr val="bg1"/>
            </a:solidFill>
          </a:endParaRPr>
        </a:p>
      </xdr:txBody>
    </xdr:sp>
    <xdr:clientData/>
  </xdr:twoCellAnchor>
  <xdr:twoCellAnchor>
    <xdr:from>
      <xdr:col>8</xdr:col>
      <xdr:colOff>446405</xdr:colOff>
      <xdr:row>7</xdr:row>
      <xdr:rowOff>66675</xdr:rowOff>
    </xdr:from>
    <xdr:to>
      <xdr:col>11</xdr:col>
      <xdr:colOff>274955</xdr:colOff>
      <xdr:row>9</xdr:row>
      <xdr:rowOff>19050</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CBCC09E2-D4CB-4973-B9D6-BB5E7C5AC315}"/>
            </a:ext>
          </a:extLst>
        </xdr:cNvPr>
        <xdr:cNvSpPr/>
      </xdr:nvSpPr>
      <xdr:spPr>
        <a:xfrm>
          <a:off x="5323205" y="619125"/>
          <a:ext cx="1657350" cy="320675"/>
        </a:xfrm>
        <a:prstGeom prst="rect">
          <a:avLst/>
        </a:prstGeom>
        <a:solidFill>
          <a:srgbClr val="002060"/>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Scale-Up</a:t>
          </a:r>
        </a:p>
      </xdr:txBody>
    </xdr:sp>
    <xdr:clientData/>
  </xdr:twoCellAnchor>
  <xdr:twoCellAnchor>
    <xdr:from>
      <xdr:col>4</xdr:col>
      <xdr:colOff>225073</xdr:colOff>
      <xdr:row>24</xdr:row>
      <xdr:rowOff>107440</xdr:rowOff>
    </xdr:from>
    <xdr:to>
      <xdr:col>7</xdr:col>
      <xdr:colOff>86170</xdr:colOff>
      <xdr:row>26</xdr:row>
      <xdr:rowOff>80671</xdr:rowOff>
    </xdr:to>
    <xdr:sp macro="" textlink="">
      <xdr:nvSpPr>
        <xdr:cNvPr id="18" name="Rectangle 17">
          <a:hlinkClick xmlns:r="http://schemas.openxmlformats.org/officeDocument/2006/relationships" r:id="rId7"/>
          <a:extLst>
            <a:ext uri="{FF2B5EF4-FFF2-40B4-BE49-F238E27FC236}">
              <a16:creationId xmlns:a16="http://schemas.microsoft.com/office/drawing/2014/main" id="{CA075480-197E-40F4-BFB1-7A3E96E7DB2B}"/>
            </a:ext>
          </a:extLst>
        </xdr:cNvPr>
        <xdr:cNvSpPr/>
      </xdr:nvSpPr>
      <xdr:spPr>
        <a:xfrm>
          <a:off x="2652184" y="4721773"/>
          <a:ext cx="1681430" cy="340120"/>
        </a:xfrm>
        <a:prstGeom prst="rect">
          <a:avLst/>
        </a:prstGeom>
        <a:solidFill>
          <a:srgbClr val="FFC000"/>
        </a:solidFill>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n-US" sz="1200" b="1">
              <a:solidFill>
                <a:schemeClr val="bg1"/>
              </a:solidFill>
            </a:rPr>
            <a:t>Summary</a:t>
          </a:r>
          <a:r>
            <a:rPr lang="en-US" sz="1200" b="1" baseline="0">
              <a:solidFill>
                <a:schemeClr val="bg1"/>
              </a:solidFill>
            </a:rPr>
            <a:t> Tables</a:t>
          </a:r>
          <a:endParaRPr lang="en-US" sz="1200" b="1">
            <a:solidFill>
              <a:schemeClr val="bg1"/>
            </a:solidFill>
          </a:endParaRPr>
        </a:p>
      </xdr:txBody>
    </xdr:sp>
    <xdr:clientData/>
  </xdr:twoCellAnchor>
  <xdr:twoCellAnchor>
    <xdr:from>
      <xdr:col>7</xdr:col>
      <xdr:colOff>155224</xdr:colOff>
      <xdr:row>24</xdr:row>
      <xdr:rowOff>105834</xdr:rowOff>
    </xdr:from>
    <xdr:to>
      <xdr:col>10</xdr:col>
      <xdr:colOff>16320</xdr:colOff>
      <xdr:row>26</xdr:row>
      <xdr:rowOff>76444</xdr:rowOff>
    </xdr:to>
    <xdr:sp macro="" textlink="">
      <xdr:nvSpPr>
        <xdr:cNvPr id="20" name="Rectangle 19">
          <a:hlinkClick xmlns:r="http://schemas.openxmlformats.org/officeDocument/2006/relationships" r:id="rId8"/>
          <a:extLst>
            <a:ext uri="{FF2B5EF4-FFF2-40B4-BE49-F238E27FC236}">
              <a16:creationId xmlns:a16="http://schemas.microsoft.com/office/drawing/2014/main" id="{3A6B9F99-090C-4EF9-B138-0A7C91F9E67C}"/>
            </a:ext>
          </a:extLst>
        </xdr:cNvPr>
        <xdr:cNvSpPr/>
      </xdr:nvSpPr>
      <xdr:spPr>
        <a:xfrm>
          <a:off x="4402668" y="4720167"/>
          <a:ext cx="1681430" cy="337499"/>
        </a:xfrm>
        <a:prstGeom prst="rect">
          <a:avLst/>
        </a:prstGeom>
        <a:solidFill>
          <a:srgbClr val="FFC000"/>
        </a:solidFill>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n-US" sz="1200" b="1" baseline="0">
              <a:solidFill>
                <a:schemeClr val="bg1"/>
              </a:solidFill>
            </a:rPr>
            <a:t>Graphs</a:t>
          </a:r>
          <a:endParaRPr lang="en-US" sz="1200" b="1">
            <a:solidFill>
              <a:schemeClr val="bg1"/>
            </a:solidFill>
          </a:endParaRPr>
        </a:p>
      </xdr:txBody>
    </xdr:sp>
    <xdr:clientData/>
  </xdr:twoCellAnchor>
  <xdr:twoCellAnchor>
    <xdr:from>
      <xdr:col>10</xdr:col>
      <xdr:colOff>86702</xdr:colOff>
      <xdr:row>24</xdr:row>
      <xdr:rowOff>109011</xdr:rowOff>
    </xdr:from>
    <xdr:to>
      <xdr:col>12</xdr:col>
      <xdr:colOff>563549</xdr:colOff>
      <xdr:row>26</xdr:row>
      <xdr:rowOff>75680</xdr:rowOff>
    </xdr:to>
    <xdr:sp macro="" textlink="">
      <xdr:nvSpPr>
        <xdr:cNvPr id="21" name="Rectangle 20">
          <a:hlinkClick xmlns:r="http://schemas.openxmlformats.org/officeDocument/2006/relationships" r:id="rId9"/>
          <a:extLst>
            <a:ext uri="{FF2B5EF4-FFF2-40B4-BE49-F238E27FC236}">
              <a16:creationId xmlns:a16="http://schemas.microsoft.com/office/drawing/2014/main" id="{E62DC2C7-0B31-44C9-98E5-371A89E27B20}"/>
            </a:ext>
          </a:extLst>
        </xdr:cNvPr>
        <xdr:cNvSpPr/>
      </xdr:nvSpPr>
      <xdr:spPr>
        <a:xfrm>
          <a:off x="6154480" y="4723344"/>
          <a:ext cx="1690402" cy="333558"/>
        </a:xfrm>
        <a:prstGeom prst="rect">
          <a:avLst/>
        </a:prstGeom>
        <a:solidFill>
          <a:srgbClr val="FFC000"/>
        </a:solidFill>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n-US" sz="1200" b="1">
              <a:solidFill>
                <a:schemeClr val="bg1"/>
              </a:solidFill>
            </a:rPr>
            <a:t>Quantification</a:t>
          </a:r>
        </a:p>
      </xdr:txBody>
    </xdr:sp>
    <xdr:clientData/>
  </xdr:twoCellAnchor>
  <xdr:twoCellAnchor>
    <xdr:from>
      <xdr:col>10</xdr:col>
      <xdr:colOff>167567</xdr:colOff>
      <xdr:row>18</xdr:row>
      <xdr:rowOff>144992</xdr:rowOff>
    </xdr:from>
    <xdr:to>
      <xdr:col>12</xdr:col>
      <xdr:colOff>599720</xdr:colOff>
      <xdr:row>20</xdr:row>
      <xdr:rowOff>97367</xdr:rowOff>
    </xdr:to>
    <xdr:sp macro="" textlink="">
      <xdr:nvSpPr>
        <xdr:cNvPr id="22" name="Rectangle 21">
          <a:hlinkClick xmlns:r="http://schemas.openxmlformats.org/officeDocument/2006/relationships" r:id="rId10"/>
          <a:extLst>
            <a:ext uri="{FF2B5EF4-FFF2-40B4-BE49-F238E27FC236}">
              <a16:creationId xmlns:a16="http://schemas.microsoft.com/office/drawing/2014/main" id="{FA1A7A73-D430-4936-9A72-4D2D41092469}"/>
            </a:ext>
          </a:extLst>
        </xdr:cNvPr>
        <xdr:cNvSpPr/>
      </xdr:nvSpPr>
      <xdr:spPr>
        <a:xfrm>
          <a:off x="6235345" y="3658659"/>
          <a:ext cx="1645708" cy="319264"/>
        </a:xfrm>
        <a:prstGeom prst="rect">
          <a:avLst/>
        </a:prstGeom>
        <a:solidFill>
          <a:schemeClr val="accent1">
            <a:lumMod val="20000"/>
            <a:lumOff val="8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Other Recurrent Costs</a:t>
          </a:r>
        </a:p>
      </xdr:txBody>
    </xdr:sp>
    <xdr:clientData/>
  </xdr:twoCellAnchor>
  <xdr:twoCellAnchor>
    <xdr:from>
      <xdr:col>1</xdr:col>
      <xdr:colOff>158749</xdr:colOff>
      <xdr:row>18</xdr:row>
      <xdr:rowOff>136525</xdr:rowOff>
    </xdr:from>
    <xdr:to>
      <xdr:col>3</xdr:col>
      <xdr:colOff>593724</xdr:colOff>
      <xdr:row>20</xdr:row>
      <xdr:rowOff>88900</xdr:rowOff>
    </xdr:to>
    <xdr:sp macro="" textlink="">
      <xdr:nvSpPr>
        <xdr:cNvPr id="23" name="Rectangle 22">
          <a:hlinkClick xmlns:r="http://schemas.openxmlformats.org/officeDocument/2006/relationships" r:id="rId11"/>
          <a:extLst>
            <a:ext uri="{FF2B5EF4-FFF2-40B4-BE49-F238E27FC236}">
              <a16:creationId xmlns:a16="http://schemas.microsoft.com/office/drawing/2014/main" id="{C8E1B072-6144-4AB1-B40D-279097DC1B7A}"/>
            </a:ext>
          </a:extLst>
        </xdr:cNvPr>
        <xdr:cNvSpPr/>
      </xdr:nvSpPr>
      <xdr:spPr>
        <a:xfrm>
          <a:off x="768349" y="2714625"/>
          <a:ext cx="1654175" cy="320675"/>
        </a:xfrm>
        <a:prstGeom prst="rect">
          <a:avLst/>
        </a:prstGeom>
        <a:solidFill>
          <a:schemeClr val="accent1">
            <a:lumMod val="20000"/>
            <a:lumOff val="8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Training</a:t>
          </a:r>
        </a:p>
      </xdr:txBody>
    </xdr:sp>
    <xdr:clientData/>
  </xdr:twoCellAnchor>
  <xdr:twoCellAnchor>
    <xdr:from>
      <xdr:col>4</xdr:col>
      <xdr:colOff>50799</xdr:colOff>
      <xdr:row>18</xdr:row>
      <xdr:rowOff>142875</xdr:rowOff>
    </xdr:from>
    <xdr:to>
      <xdr:col>6</xdr:col>
      <xdr:colOff>478154</xdr:colOff>
      <xdr:row>20</xdr:row>
      <xdr:rowOff>95250</xdr:rowOff>
    </xdr:to>
    <xdr:sp macro="" textlink="">
      <xdr:nvSpPr>
        <xdr:cNvPr id="24" name="Rectangle 23">
          <a:hlinkClick xmlns:r="http://schemas.openxmlformats.org/officeDocument/2006/relationships" r:id="rId12"/>
          <a:extLst>
            <a:ext uri="{FF2B5EF4-FFF2-40B4-BE49-F238E27FC236}">
              <a16:creationId xmlns:a16="http://schemas.microsoft.com/office/drawing/2014/main" id="{E65BEF40-4E06-4364-B56F-21DED9B324DD}"/>
            </a:ext>
          </a:extLst>
        </xdr:cNvPr>
        <xdr:cNvSpPr/>
      </xdr:nvSpPr>
      <xdr:spPr>
        <a:xfrm>
          <a:off x="2489199" y="2720975"/>
          <a:ext cx="1646555" cy="320675"/>
        </a:xfrm>
        <a:prstGeom prst="rect">
          <a:avLst/>
        </a:prstGeom>
        <a:solidFill>
          <a:schemeClr val="accent1">
            <a:lumMod val="20000"/>
            <a:lumOff val="8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Equipment</a:t>
          </a:r>
        </a:p>
      </xdr:txBody>
    </xdr:sp>
    <xdr:clientData/>
  </xdr:twoCellAnchor>
  <xdr:twoCellAnchor>
    <xdr:from>
      <xdr:col>6</xdr:col>
      <xdr:colOff>553083</xdr:colOff>
      <xdr:row>18</xdr:row>
      <xdr:rowOff>139065</xdr:rowOff>
    </xdr:from>
    <xdr:to>
      <xdr:col>10</xdr:col>
      <xdr:colOff>98777</xdr:colOff>
      <xdr:row>20</xdr:row>
      <xdr:rowOff>91440</xdr:rowOff>
    </xdr:to>
    <xdr:sp macro="" textlink="">
      <xdr:nvSpPr>
        <xdr:cNvPr id="26" name="Rectangle 25">
          <a:hlinkClick xmlns:r="http://schemas.openxmlformats.org/officeDocument/2006/relationships" r:id="rId13"/>
          <a:extLst>
            <a:ext uri="{FF2B5EF4-FFF2-40B4-BE49-F238E27FC236}">
              <a16:creationId xmlns:a16="http://schemas.microsoft.com/office/drawing/2014/main" id="{DC108F03-561F-4B94-B2B2-F38895BAA915}"/>
            </a:ext>
          </a:extLst>
        </xdr:cNvPr>
        <xdr:cNvSpPr/>
      </xdr:nvSpPr>
      <xdr:spPr>
        <a:xfrm>
          <a:off x="4193750" y="3652732"/>
          <a:ext cx="1972805" cy="319264"/>
        </a:xfrm>
        <a:prstGeom prst="rect">
          <a:avLst/>
        </a:prstGeom>
        <a:solidFill>
          <a:schemeClr val="accent1">
            <a:lumMod val="20000"/>
            <a:lumOff val="8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Capital and Start-up</a:t>
          </a:r>
          <a:r>
            <a:rPr lang="en-US" sz="1200" b="1" baseline="0">
              <a:solidFill>
                <a:schemeClr val="bg1"/>
              </a:solidFill>
            </a:rPr>
            <a:t> </a:t>
          </a:r>
          <a:r>
            <a:rPr lang="en-US" sz="1200" b="1">
              <a:solidFill>
                <a:schemeClr val="bg1"/>
              </a:solidFill>
            </a:rPr>
            <a:t>Costs</a:t>
          </a:r>
        </a:p>
      </xdr:txBody>
    </xdr:sp>
    <xdr:clientData/>
  </xdr:twoCellAnchor>
  <xdr:twoCellAnchor>
    <xdr:from>
      <xdr:col>0</xdr:col>
      <xdr:colOff>50800</xdr:colOff>
      <xdr:row>22</xdr:row>
      <xdr:rowOff>171450</xdr:rowOff>
    </xdr:from>
    <xdr:to>
      <xdr:col>17</xdr:col>
      <xdr:colOff>330200</xdr:colOff>
      <xdr:row>27</xdr:row>
      <xdr:rowOff>67310</xdr:rowOff>
    </xdr:to>
    <xdr:sp macro="" textlink="">
      <xdr:nvSpPr>
        <xdr:cNvPr id="28" name="Rounded Rectangle 2">
          <a:extLst>
            <a:ext uri="{FF2B5EF4-FFF2-40B4-BE49-F238E27FC236}">
              <a16:creationId xmlns:a16="http://schemas.microsoft.com/office/drawing/2014/main" id="{944252E0-D100-423A-BAA1-9D56F6BA8F34}"/>
            </a:ext>
          </a:extLst>
        </xdr:cNvPr>
        <xdr:cNvSpPr/>
      </xdr:nvSpPr>
      <xdr:spPr bwMode="auto">
        <a:xfrm>
          <a:off x="50800" y="3486150"/>
          <a:ext cx="10642600" cy="816610"/>
        </a:xfrm>
        <a:prstGeom prst="roundRect">
          <a:avLst/>
        </a:prstGeom>
        <a:noFill/>
        <a:ln>
          <a:solidFill>
            <a:srgbClr val="00206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en-US" sz="1400" b="1">
              <a:solidFill>
                <a:srgbClr val="002060"/>
              </a:solidFill>
            </a:rPr>
            <a:t>RESULTS</a:t>
          </a:r>
        </a:p>
      </xdr:txBody>
    </xdr:sp>
    <xdr:clientData/>
  </xdr:twoCellAnchor>
  <xdr:twoCellAnchor>
    <xdr:from>
      <xdr:col>0</xdr:col>
      <xdr:colOff>96803</xdr:colOff>
      <xdr:row>16</xdr:row>
      <xdr:rowOff>158750</xdr:rowOff>
    </xdr:from>
    <xdr:to>
      <xdr:col>17</xdr:col>
      <xdr:colOff>376203</xdr:colOff>
      <xdr:row>21</xdr:row>
      <xdr:rowOff>54610</xdr:rowOff>
    </xdr:to>
    <xdr:sp macro="" textlink="">
      <xdr:nvSpPr>
        <xdr:cNvPr id="29" name="Rounded Rectangle 2">
          <a:extLst>
            <a:ext uri="{FF2B5EF4-FFF2-40B4-BE49-F238E27FC236}">
              <a16:creationId xmlns:a16="http://schemas.microsoft.com/office/drawing/2014/main" id="{A30F26FC-2A21-44DE-9790-1D0582ABC0B4}"/>
            </a:ext>
          </a:extLst>
        </xdr:cNvPr>
        <xdr:cNvSpPr/>
      </xdr:nvSpPr>
      <xdr:spPr bwMode="auto">
        <a:xfrm>
          <a:off x="96803" y="3305528"/>
          <a:ext cx="10594622" cy="813082"/>
        </a:xfrm>
        <a:prstGeom prst="roundRect">
          <a:avLst/>
        </a:prstGeom>
        <a:noFill/>
        <a:ln>
          <a:solidFill>
            <a:srgbClr val="00206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en-US" sz="1400" b="1">
              <a:solidFill>
                <a:srgbClr val="002060"/>
              </a:solidFill>
            </a:rPr>
            <a:t>COST</a:t>
          </a:r>
          <a:r>
            <a:rPr lang="en-US" sz="1400" b="1" baseline="0">
              <a:solidFill>
                <a:srgbClr val="002060"/>
              </a:solidFill>
            </a:rPr>
            <a:t> CATEGORIES</a:t>
          </a:r>
          <a:endParaRPr lang="en-US" sz="1400" b="1">
            <a:solidFill>
              <a:srgbClr val="002060"/>
            </a:solidFill>
          </a:endParaRPr>
        </a:p>
      </xdr:txBody>
    </xdr:sp>
    <xdr:clientData/>
  </xdr:twoCellAnchor>
  <xdr:twoCellAnchor>
    <xdr:from>
      <xdr:col>0</xdr:col>
      <xdr:colOff>50800</xdr:colOff>
      <xdr:row>11</xdr:row>
      <xdr:rowOff>63500</xdr:rowOff>
    </xdr:from>
    <xdr:to>
      <xdr:col>17</xdr:col>
      <xdr:colOff>330200</xdr:colOff>
      <xdr:row>15</xdr:row>
      <xdr:rowOff>143510</xdr:rowOff>
    </xdr:to>
    <xdr:sp macro="" textlink="">
      <xdr:nvSpPr>
        <xdr:cNvPr id="30" name="Rounded Rectangle 2">
          <a:extLst>
            <a:ext uri="{FF2B5EF4-FFF2-40B4-BE49-F238E27FC236}">
              <a16:creationId xmlns:a16="http://schemas.microsoft.com/office/drawing/2014/main" id="{8FE30650-FDD5-4A1C-A863-604ED095D152}"/>
            </a:ext>
          </a:extLst>
        </xdr:cNvPr>
        <xdr:cNvSpPr/>
      </xdr:nvSpPr>
      <xdr:spPr bwMode="auto">
        <a:xfrm>
          <a:off x="50800" y="1352550"/>
          <a:ext cx="10642600" cy="816610"/>
        </a:xfrm>
        <a:prstGeom prst="roundRect">
          <a:avLst/>
        </a:prstGeom>
        <a:noFill/>
        <a:ln>
          <a:solidFill>
            <a:srgbClr val="00206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en-US" sz="1400" b="1">
              <a:solidFill>
                <a:srgbClr val="002060"/>
              </a:solidFill>
            </a:rPr>
            <a:t>SERVICES</a:t>
          </a:r>
        </a:p>
      </xdr:txBody>
    </xdr:sp>
    <xdr:clientData/>
  </xdr:twoCellAnchor>
  <xdr:twoCellAnchor>
    <xdr:from>
      <xdr:col>0</xdr:col>
      <xdr:colOff>6350</xdr:colOff>
      <xdr:row>5</xdr:row>
      <xdr:rowOff>95250</xdr:rowOff>
    </xdr:from>
    <xdr:to>
      <xdr:col>17</xdr:col>
      <xdr:colOff>285750</xdr:colOff>
      <xdr:row>9</xdr:row>
      <xdr:rowOff>175260</xdr:rowOff>
    </xdr:to>
    <xdr:sp macro="" textlink="">
      <xdr:nvSpPr>
        <xdr:cNvPr id="31" name="Rounded Rectangle 2">
          <a:extLst>
            <a:ext uri="{FF2B5EF4-FFF2-40B4-BE49-F238E27FC236}">
              <a16:creationId xmlns:a16="http://schemas.microsoft.com/office/drawing/2014/main" id="{88D738A4-B04C-4C23-994C-80D3C0BE4E06}"/>
            </a:ext>
          </a:extLst>
        </xdr:cNvPr>
        <xdr:cNvSpPr/>
      </xdr:nvSpPr>
      <xdr:spPr bwMode="auto">
        <a:xfrm>
          <a:off x="6350" y="279400"/>
          <a:ext cx="10642600" cy="816610"/>
        </a:xfrm>
        <a:prstGeom prst="roundRect">
          <a:avLst/>
        </a:prstGeom>
        <a:noFill/>
        <a:ln>
          <a:solidFill>
            <a:srgbClr val="00206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ctr"/>
          <a:r>
            <a:rPr lang="en-US" sz="1400" b="1">
              <a:solidFill>
                <a:srgbClr val="002060"/>
              </a:solidFill>
            </a:rPr>
            <a:t>INPUTS</a:t>
          </a:r>
        </a:p>
      </xdr:txBody>
    </xdr:sp>
    <xdr:clientData/>
  </xdr:twoCellAnchor>
  <xdr:twoCellAnchor>
    <xdr:from>
      <xdr:col>7</xdr:col>
      <xdr:colOff>120650</xdr:colOff>
      <xdr:row>2</xdr:row>
      <xdr:rowOff>101600</xdr:rowOff>
    </xdr:from>
    <xdr:to>
      <xdr:col>9</xdr:col>
      <xdr:colOff>558800</xdr:colOff>
      <xdr:row>4</xdr:row>
      <xdr:rowOff>53975</xdr:rowOff>
    </xdr:to>
    <xdr:sp macro="" textlink="">
      <xdr:nvSpPr>
        <xdr:cNvPr id="32" name="Rectangle 31">
          <a:hlinkClick xmlns:r="http://schemas.openxmlformats.org/officeDocument/2006/relationships" r:id="rId14"/>
          <a:extLst>
            <a:ext uri="{FF2B5EF4-FFF2-40B4-BE49-F238E27FC236}">
              <a16:creationId xmlns:a16="http://schemas.microsoft.com/office/drawing/2014/main" id="{77A593A2-1676-49E1-8EB6-A5C591FC5E6C}"/>
            </a:ext>
          </a:extLst>
        </xdr:cNvPr>
        <xdr:cNvSpPr/>
      </xdr:nvSpPr>
      <xdr:spPr>
        <a:xfrm>
          <a:off x="4387850" y="285750"/>
          <a:ext cx="1657350" cy="320675"/>
        </a:xfrm>
        <a:prstGeom prst="rect">
          <a:avLst/>
        </a:prstGeom>
        <a:solidFill>
          <a:srgbClr val="FF0000"/>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n-US" sz="1200" b="1">
              <a:solidFill>
                <a:schemeClr val="bg1"/>
              </a:solidFill>
            </a:rPr>
            <a:t>User</a:t>
          </a:r>
          <a:r>
            <a:rPr lang="en-US" sz="1200" b="1" baseline="0">
              <a:solidFill>
                <a:schemeClr val="bg1"/>
              </a:solidFill>
            </a:rPr>
            <a:t> Guide</a:t>
          </a:r>
          <a:endParaRPr lang="en-US" sz="1200" b="1">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3532</xdr:colOff>
      <xdr:row>2</xdr:row>
      <xdr:rowOff>0</xdr:rowOff>
    </xdr:from>
    <xdr:to>
      <xdr:col>3</xdr:col>
      <xdr:colOff>3532</xdr:colOff>
      <xdr:row>2</xdr:row>
      <xdr:rowOff>4233</xdr:rowOff>
    </xdr:to>
    <xdr:grpSp>
      <xdr:nvGrpSpPr>
        <xdr:cNvPr id="2" name="Group 1">
          <a:hlinkClick xmlns:r="http://schemas.openxmlformats.org/officeDocument/2006/relationships" r:id="rId1" tooltip="Go to Data Entry (Program Data)"/>
          <a:extLst>
            <a:ext uri="{FF2B5EF4-FFF2-40B4-BE49-F238E27FC236}">
              <a16:creationId xmlns:a16="http://schemas.microsoft.com/office/drawing/2014/main" id="{E7EACC23-1425-4687-9C1A-1C19DC046657}"/>
            </a:ext>
          </a:extLst>
        </xdr:cNvPr>
        <xdr:cNvGrpSpPr/>
      </xdr:nvGrpSpPr>
      <xdr:grpSpPr>
        <a:xfrm>
          <a:off x="4019907" y="539750"/>
          <a:ext cx="0" cy="4233"/>
          <a:chOff x="1504665" y="525780"/>
          <a:chExt cx="914400" cy="1106734"/>
        </a:xfrm>
        <a:solidFill>
          <a:schemeClr val="accent4">
            <a:lumMod val="20000"/>
            <a:lumOff val="80000"/>
          </a:schemeClr>
        </a:solidFill>
      </xdr:grpSpPr>
      <xdr:pic>
        <xdr:nvPicPr>
          <xdr:cNvPr id="3" name="Graphic 2" descr="Pencil">
            <a:extLst>
              <a:ext uri="{FF2B5EF4-FFF2-40B4-BE49-F238E27FC236}">
                <a16:creationId xmlns:a16="http://schemas.microsoft.com/office/drawing/2014/main" id="{FFD3828D-51B4-449E-B99B-1A5A2AC50F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4" name="Graphic 3" descr="Open book">
            <a:extLst>
              <a:ext uri="{FF2B5EF4-FFF2-40B4-BE49-F238E27FC236}">
                <a16:creationId xmlns:a16="http://schemas.microsoft.com/office/drawing/2014/main" id="{D17F1271-DAC7-4177-8CAB-04C64854976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3532</xdr:colOff>
      <xdr:row>2</xdr:row>
      <xdr:rowOff>0</xdr:rowOff>
    </xdr:from>
    <xdr:to>
      <xdr:col>3</xdr:col>
      <xdr:colOff>3532</xdr:colOff>
      <xdr:row>2</xdr:row>
      <xdr:rowOff>4233</xdr:rowOff>
    </xdr:to>
    <xdr:grpSp>
      <xdr:nvGrpSpPr>
        <xdr:cNvPr id="2" name="Group 1">
          <a:hlinkClick xmlns:r="http://schemas.openxmlformats.org/officeDocument/2006/relationships" r:id="rId1" tooltip="Go to Data Entry (Program Data)"/>
          <a:extLst>
            <a:ext uri="{FF2B5EF4-FFF2-40B4-BE49-F238E27FC236}">
              <a16:creationId xmlns:a16="http://schemas.microsoft.com/office/drawing/2014/main" id="{A458C97A-E82D-43A6-A92C-C11AECDA8CCB}"/>
            </a:ext>
          </a:extLst>
        </xdr:cNvPr>
        <xdr:cNvGrpSpPr/>
      </xdr:nvGrpSpPr>
      <xdr:grpSpPr>
        <a:xfrm>
          <a:off x="5401032" y="539750"/>
          <a:ext cx="0" cy="4233"/>
          <a:chOff x="1504665" y="525780"/>
          <a:chExt cx="914400" cy="1106734"/>
        </a:xfrm>
        <a:solidFill>
          <a:schemeClr val="accent4">
            <a:lumMod val="20000"/>
            <a:lumOff val="80000"/>
          </a:schemeClr>
        </a:solidFill>
      </xdr:grpSpPr>
      <xdr:pic>
        <xdr:nvPicPr>
          <xdr:cNvPr id="3" name="Graphic 2" descr="Pencil">
            <a:extLst>
              <a:ext uri="{FF2B5EF4-FFF2-40B4-BE49-F238E27FC236}">
                <a16:creationId xmlns:a16="http://schemas.microsoft.com/office/drawing/2014/main" id="{B0CF8C8B-BA7A-4B72-9A88-3D78B06979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4" name="Graphic 3" descr="Open book">
            <a:extLst>
              <a:ext uri="{FF2B5EF4-FFF2-40B4-BE49-F238E27FC236}">
                <a16:creationId xmlns:a16="http://schemas.microsoft.com/office/drawing/2014/main" id="{9768DDAA-35E9-4A7C-87F1-7619F8523C1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81644</xdr:colOff>
      <xdr:row>42</xdr:row>
      <xdr:rowOff>88447</xdr:rowOff>
    </xdr:from>
    <xdr:to>
      <xdr:col>6</xdr:col>
      <xdr:colOff>1554167</xdr:colOff>
      <xdr:row>42</xdr:row>
      <xdr:rowOff>1013734</xdr:rowOff>
    </xdr:to>
    <xdr:pic>
      <xdr:nvPicPr>
        <xdr:cNvPr id="2" name="图片 2">
          <a:extLst>
            <a:ext uri="{FF2B5EF4-FFF2-40B4-BE49-F238E27FC236}">
              <a16:creationId xmlns:a16="http://schemas.microsoft.com/office/drawing/2014/main" id="{BD56344A-9630-4F3B-A568-B5AC7283E2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09594" y="45459197"/>
          <a:ext cx="1472523" cy="925287"/>
        </a:xfrm>
        <a:prstGeom prst="rect">
          <a:avLst/>
        </a:prstGeom>
      </xdr:spPr>
    </xdr:pic>
    <xdr:clientData/>
  </xdr:twoCellAnchor>
  <xdr:twoCellAnchor editAs="oneCell">
    <xdr:from>
      <xdr:col>6</xdr:col>
      <xdr:colOff>95252</xdr:colOff>
      <xdr:row>43</xdr:row>
      <xdr:rowOff>183697</xdr:rowOff>
    </xdr:from>
    <xdr:to>
      <xdr:col>6</xdr:col>
      <xdr:colOff>1530804</xdr:colOff>
      <xdr:row>43</xdr:row>
      <xdr:rowOff>1081769</xdr:rowOff>
    </xdr:to>
    <xdr:pic>
      <xdr:nvPicPr>
        <xdr:cNvPr id="3" name="图片 3">
          <a:extLst>
            <a:ext uri="{FF2B5EF4-FFF2-40B4-BE49-F238E27FC236}">
              <a16:creationId xmlns:a16="http://schemas.microsoft.com/office/drawing/2014/main" id="{29193CAE-D91B-4039-B821-13D4ECB1ED0B}"/>
            </a:ext>
          </a:extLst>
        </xdr:cNvPr>
        <xdr:cNvPicPr>
          <a:picLocks noChangeAspect="1"/>
        </xdr:cNvPicPr>
      </xdr:nvPicPr>
      <xdr:blipFill>
        <a:blip xmlns:r="http://schemas.openxmlformats.org/officeDocument/2006/relationships" r:embed="rId2"/>
        <a:stretch>
          <a:fillRect/>
        </a:stretch>
      </xdr:blipFill>
      <xdr:spPr>
        <a:xfrm>
          <a:off x="7823202" y="46697447"/>
          <a:ext cx="1435552" cy="898072"/>
        </a:xfrm>
        <a:prstGeom prst="rect">
          <a:avLst/>
        </a:prstGeom>
      </xdr:spPr>
    </xdr:pic>
    <xdr:clientData/>
  </xdr:twoCellAnchor>
  <xdr:twoCellAnchor editAs="oneCell">
    <xdr:from>
      <xdr:col>6</xdr:col>
      <xdr:colOff>102152</xdr:colOff>
      <xdr:row>44</xdr:row>
      <xdr:rowOff>47626</xdr:rowOff>
    </xdr:from>
    <xdr:to>
      <xdr:col>6</xdr:col>
      <xdr:colOff>1596844</xdr:colOff>
      <xdr:row>44</xdr:row>
      <xdr:rowOff>918483</xdr:rowOff>
    </xdr:to>
    <xdr:pic>
      <xdr:nvPicPr>
        <xdr:cNvPr id="4" name="图片 4">
          <a:extLst>
            <a:ext uri="{FF2B5EF4-FFF2-40B4-BE49-F238E27FC236}">
              <a16:creationId xmlns:a16="http://schemas.microsoft.com/office/drawing/2014/main" id="{9703AEEE-575E-4C14-BF5B-FC23914760B8}"/>
            </a:ext>
          </a:extLst>
        </xdr:cNvPr>
        <xdr:cNvPicPr>
          <a:picLocks noChangeAspect="1"/>
        </xdr:cNvPicPr>
      </xdr:nvPicPr>
      <xdr:blipFill>
        <a:blip xmlns:r="http://schemas.openxmlformats.org/officeDocument/2006/relationships" r:embed="rId3"/>
        <a:stretch>
          <a:fillRect/>
        </a:stretch>
      </xdr:blipFill>
      <xdr:spPr>
        <a:xfrm>
          <a:off x="7830102" y="47748826"/>
          <a:ext cx="1494692" cy="870857"/>
        </a:xfrm>
        <a:prstGeom prst="rect">
          <a:avLst/>
        </a:prstGeom>
      </xdr:spPr>
    </xdr:pic>
    <xdr:clientData/>
  </xdr:twoCellAnchor>
  <xdr:twoCellAnchor editAs="oneCell">
    <xdr:from>
      <xdr:col>6</xdr:col>
      <xdr:colOff>190501</xdr:colOff>
      <xdr:row>45</xdr:row>
      <xdr:rowOff>88446</xdr:rowOff>
    </xdr:from>
    <xdr:to>
      <xdr:col>6</xdr:col>
      <xdr:colOff>1462768</xdr:colOff>
      <xdr:row>45</xdr:row>
      <xdr:rowOff>875242</xdr:rowOff>
    </xdr:to>
    <xdr:pic>
      <xdr:nvPicPr>
        <xdr:cNvPr id="5" name="图片 5">
          <a:extLst>
            <a:ext uri="{FF2B5EF4-FFF2-40B4-BE49-F238E27FC236}">
              <a16:creationId xmlns:a16="http://schemas.microsoft.com/office/drawing/2014/main" id="{4D7C6A59-C741-4AC4-8EEC-A631989C2AEA}"/>
            </a:ext>
          </a:extLst>
        </xdr:cNvPr>
        <xdr:cNvPicPr>
          <a:picLocks noChangeAspect="1"/>
        </xdr:cNvPicPr>
      </xdr:nvPicPr>
      <xdr:blipFill>
        <a:blip xmlns:r="http://schemas.openxmlformats.org/officeDocument/2006/relationships" r:embed="rId4"/>
        <a:stretch>
          <a:fillRect/>
        </a:stretch>
      </xdr:blipFill>
      <xdr:spPr>
        <a:xfrm>
          <a:off x="7918451" y="48767546"/>
          <a:ext cx="1272267" cy="786796"/>
        </a:xfrm>
        <a:prstGeom prst="rect">
          <a:avLst/>
        </a:prstGeom>
      </xdr:spPr>
    </xdr:pic>
    <xdr:clientData/>
  </xdr:twoCellAnchor>
  <xdr:twoCellAnchor editAs="oneCell">
    <xdr:from>
      <xdr:col>6</xdr:col>
      <xdr:colOff>134490</xdr:colOff>
      <xdr:row>46</xdr:row>
      <xdr:rowOff>210911</xdr:rowOff>
    </xdr:from>
    <xdr:to>
      <xdr:col>6</xdr:col>
      <xdr:colOff>1558017</xdr:colOff>
      <xdr:row>46</xdr:row>
      <xdr:rowOff>1204232</xdr:rowOff>
    </xdr:to>
    <xdr:pic>
      <xdr:nvPicPr>
        <xdr:cNvPr id="6" name="图片 6">
          <a:extLst>
            <a:ext uri="{FF2B5EF4-FFF2-40B4-BE49-F238E27FC236}">
              <a16:creationId xmlns:a16="http://schemas.microsoft.com/office/drawing/2014/main" id="{1629A40D-789E-4637-A246-98B8BE04BBF8}"/>
            </a:ext>
          </a:extLst>
        </xdr:cNvPr>
        <xdr:cNvPicPr>
          <a:picLocks noChangeAspect="1"/>
        </xdr:cNvPicPr>
      </xdr:nvPicPr>
      <xdr:blipFill>
        <a:blip xmlns:r="http://schemas.openxmlformats.org/officeDocument/2006/relationships" r:embed="rId5"/>
        <a:stretch>
          <a:fillRect/>
        </a:stretch>
      </xdr:blipFill>
      <xdr:spPr>
        <a:xfrm>
          <a:off x="7862440" y="49791711"/>
          <a:ext cx="1423527" cy="993321"/>
        </a:xfrm>
        <a:prstGeom prst="rect">
          <a:avLst/>
        </a:prstGeom>
      </xdr:spPr>
    </xdr:pic>
    <xdr:clientData/>
  </xdr:twoCellAnchor>
  <xdr:twoCellAnchor>
    <xdr:from>
      <xdr:col>6</xdr:col>
      <xdr:colOff>452966</xdr:colOff>
      <xdr:row>13</xdr:row>
      <xdr:rowOff>92075</xdr:rowOff>
    </xdr:from>
    <xdr:to>
      <xdr:col>6</xdr:col>
      <xdr:colOff>1301750</xdr:colOff>
      <xdr:row>13</xdr:row>
      <xdr:rowOff>1046957</xdr:rowOff>
    </xdr:to>
    <xdr:pic>
      <xdr:nvPicPr>
        <xdr:cNvPr id="7" name="图片 1" descr="C:\Users\Administrator\Desktop\新建文件夹\DSC_9141.JPG">
          <a:extLst>
            <a:ext uri="{FF2B5EF4-FFF2-40B4-BE49-F238E27FC236}">
              <a16:creationId xmlns:a16="http://schemas.microsoft.com/office/drawing/2014/main" id="{3DA4A386-3946-4248-BA14-FB5647F705E2}"/>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180916" y="4098925"/>
          <a:ext cx="848784" cy="954882"/>
        </a:xfrm>
        <a:prstGeom prst="rect">
          <a:avLst/>
        </a:prstGeom>
        <a:noFill/>
        <a:ln w="9525">
          <a:noFill/>
          <a:miter lim="800000"/>
          <a:headEnd/>
          <a:tailEnd/>
        </a:ln>
      </xdr:spPr>
    </xdr:pic>
    <xdr:clientData/>
  </xdr:twoCellAnchor>
  <xdr:twoCellAnchor>
    <xdr:from>
      <xdr:col>6</xdr:col>
      <xdr:colOff>431800</xdr:colOff>
      <xdr:row>14</xdr:row>
      <xdr:rowOff>113242</xdr:rowOff>
    </xdr:from>
    <xdr:to>
      <xdr:col>6</xdr:col>
      <xdr:colOff>1343133</xdr:colOff>
      <xdr:row>14</xdr:row>
      <xdr:rowOff>984250</xdr:rowOff>
    </xdr:to>
    <xdr:pic>
      <xdr:nvPicPr>
        <xdr:cNvPr id="8" name="图片 13" descr="DSC06414">
          <a:extLst>
            <a:ext uri="{FF2B5EF4-FFF2-40B4-BE49-F238E27FC236}">
              <a16:creationId xmlns:a16="http://schemas.microsoft.com/office/drawing/2014/main" id="{21F0E912-3E70-4018-9C69-CF4F93DF4D6D}"/>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8159750" y="5212292"/>
          <a:ext cx="911333" cy="871008"/>
        </a:xfrm>
        <a:prstGeom prst="rect">
          <a:avLst/>
        </a:prstGeom>
        <a:noFill/>
        <a:ln w="9525">
          <a:noFill/>
          <a:miter lim="800000"/>
          <a:headEnd/>
          <a:tailEnd/>
        </a:ln>
      </xdr:spPr>
    </xdr:pic>
    <xdr:clientData/>
  </xdr:twoCellAnchor>
  <xdr:twoCellAnchor>
    <xdr:from>
      <xdr:col>6</xdr:col>
      <xdr:colOff>438150</xdr:colOff>
      <xdr:row>15</xdr:row>
      <xdr:rowOff>86783</xdr:rowOff>
    </xdr:from>
    <xdr:to>
      <xdr:col>6</xdr:col>
      <xdr:colOff>1307394</xdr:colOff>
      <xdr:row>15</xdr:row>
      <xdr:rowOff>1068916</xdr:rowOff>
    </xdr:to>
    <xdr:pic>
      <xdr:nvPicPr>
        <xdr:cNvPr id="9" name="图片 9" descr="C:\Users\ADMINI~1\AppData\Local\Temp\WeChat Files\57d719d9126b246b65b05aa29972482.jpg">
          <a:extLst>
            <a:ext uri="{FF2B5EF4-FFF2-40B4-BE49-F238E27FC236}">
              <a16:creationId xmlns:a16="http://schemas.microsoft.com/office/drawing/2014/main" id="{2E11DAFF-E0B8-472C-A855-342D39FCFBB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166100" y="6278033"/>
          <a:ext cx="869244" cy="982133"/>
        </a:xfrm>
        <a:prstGeom prst="rect">
          <a:avLst/>
        </a:prstGeom>
        <a:noFill/>
        <a:ln w="9525">
          <a:noFill/>
          <a:miter lim="800000"/>
          <a:headEnd/>
          <a:tailEnd/>
        </a:ln>
      </xdr:spPr>
    </xdr:pic>
    <xdr:clientData/>
  </xdr:twoCellAnchor>
  <xdr:twoCellAnchor>
    <xdr:from>
      <xdr:col>6</xdr:col>
      <xdr:colOff>382182</xdr:colOff>
      <xdr:row>16</xdr:row>
      <xdr:rowOff>208056</xdr:rowOff>
    </xdr:from>
    <xdr:to>
      <xdr:col>6</xdr:col>
      <xdr:colOff>1333499</xdr:colOff>
      <xdr:row>16</xdr:row>
      <xdr:rowOff>1016098</xdr:rowOff>
    </xdr:to>
    <xdr:pic>
      <xdr:nvPicPr>
        <xdr:cNvPr id="10" name="图片 5" descr="C:\Users\Administrator\Desktop\新建文件夹 (3)\微信图片_20190705132533.jpg">
          <a:extLst>
            <a:ext uri="{FF2B5EF4-FFF2-40B4-BE49-F238E27FC236}">
              <a16:creationId xmlns:a16="http://schemas.microsoft.com/office/drawing/2014/main" id="{1B5BDA46-E392-4603-91E4-75F80ED075D6}"/>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8110132" y="7542306"/>
          <a:ext cx="951317" cy="808042"/>
        </a:xfrm>
        <a:prstGeom prst="rect">
          <a:avLst/>
        </a:prstGeom>
        <a:noFill/>
        <a:ln w="9525">
          <a:noFill/>
          <a:miter lim="800000"/>
          <a:headEnd/>
          <a:tailEnd/>
        </a:ln>
      </xdr:spPr>
    </xdr:pic>
    <xdr:clientData/>
  </xdr:twoCellAnchor>
  <xdr:twoCellAnchor>
    <xdr:from>
      <xdr:col>6</xdr:col>
      <xdr:colOff>525991</xdr:colOff>
      <xdr:row>24</xdr:row>
      <xdr:rowOff>58210</xdr:rowOff>
    </xdr:from>
    <xdr:to>
      <xdr:col>6</xdr:col>
      <xdr:colOff>1155018</xdr:colOff>
      <xdr:row>24</xdr:row>
      <xdr:rowOff>841375</xdr:rowOff>
    </xdr:to>
    <xdr:pic>
      <xdr:nvPicPr>
        <xdr:cNvPr id="11" name="图片 1" descr="d4f093ed0d695c8497a886e05e13a71">
          <a:extLst>
            <a:ext uri="{FF2B5EF4-FFF2-40B4-BE49-F238E27FC236}">
              <a16:creationId xmlns:a16="http://schemas.microsoft.com/office/drawing/2014/main" id="{28AC9D36-F228-4F60-891B-52241C4538FA}"/>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8253941" y="26480560"/>
          <a:ext cx="629027" cy="783165"/>
        </a:xfrm>
        <a:prstGeom prst="rect">
          <a:avLst/>
        </a:prstGeom>
        <a:noFill/>
        <a:ln w="9525">
          <a:noFill/>
          <a:miter lim="800000"/>
          <a:headEnd/>
          <a:tailEnd/>
        </a:ln>
      </xdr:spPr>
    </xdr:pic>
    <xdr:clientData/>
  </xdr:twoCellAnchor>
  <xdr:twoCellAnchor>
    <xdr:from>
      <xdr:col>6</xdr:col>
      <xdr:colOff>507999</xdr:colOff>
      <xdr:row>25</xdr:row>
      <xdr:rowOff>77262</xdr:rowOff>
    </xdr:from>
    <xdr:to>
      <xdr:col>6</xdr:col>
      <xdr:colOff>1164166</xdr:colOff>
      <xdr:row>25</xdr:row>
      <xdr:rowOff>850604</xdr:rowOff>
    </xdr:to>
    <xdr:pic>
      <xdr:nvPicPr>
        <xdr:cNvPr id="12" name="图片 2" descr="9c2c5eb804f4b79053008e96e5988e0">
          <a:extLst>
            <a:ext uri="{FF2B5EF4-FFF2-40B4-BE49-F238E27FC236}">
              <a16:creationId xmlns:a16="http://schemas.microsoft.com/office/drawing/2014/main" id="{D7B7993F-3A62-4D3F-958E-4C77C5A2C4EA}"/>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rot="5400000">
          <a:off x="8177362" y="27491649"/>
          <a:ext cx="773342" cy="656167"/>
        </a:xfrm>
        <a:prstGeom prst="rect">
          <a:avLst/>
        </a:prstGeom>
        <a:noFill/>
        <a:ln w="9525">
          <a:noFill/>
          <a:miter lim="800000"/>
          <a:headEnd/>
          <a:tailEnd/>
        </a:ln>
      </xdr:spPr>
    </xdr:pic>
    <xdr:clientData/>
  </xdr:twoCellAnchor>
  <xdr:twoCellAnchor>
    <xdr:from>
      <xdr:col>6</xdr:col>
      <xdr:colOff>462493</xdr:colOff>
      <xdr:row>26</xdr:row>
      <xdr:rowOff>88900</xdr:rowOff>
    </xdr:from>
    <xdr:to>
      <xdr:col>6</xdr:col>
      <xdr:colOff>1164167</xdr:colOff>
      <xdr:row>26</xdr:row>
      <xdr:rowOff>878283</xdr:rowOff>
    </xdr:to>
    <xdr:pic>
      <xdr:nvPicPr>
        <xdr:cNvPr id="13" name="图片 3" descr="b906c7c63d11099c718d1920302f5e8">
          <a:extLst>
            <a:ext uri="{FF2B5EF4-FFF2-40B4-BE49-F238E27FC236}">
              <a16:creationId xmlns:a16="http://schemas.microsoft.com/office/drawing/2014/main" id="{C15C1A2F-952A-4FB9-B8CC-EA2212F0348A}"/>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190443" y="28378150"/>
          <a:ext cx="701674" cy="789383"/>
        </a:xfrm>
        <a:prstGeom prst="rect">
          <a:avLst/>
        </a:prstGeom>
        <a:noFill/>
        <a:ln w="9525">
          <a:noFill/>
          <a:miter lim="800000"/>
          <a:headEnd/>
          <a:tailEnd/>
        </a:ln>
      </xdr:spPr>
    </xdr:pic>
    <xdr:clientData/>
  </xdr:twoCellAnchor>
  <xdr:twoCellAnchor>
    <xdr:from>
      <xdr:col>6</xdr:col>
      <xdr:colOff>560917</xdr:colOff>
      <xdr:row>22</xdr:row>
      <xdr:rowOff>148167</xdr:rowOff>
    </xdr:from>
    <xdr:to>
      <xdr:col>6</xdr:col>
      <xdr:colOff>1146928</xdr:colOff>
      <xdr:row>22</xdr:row>
      <xdr:rowOff>862542</xdr:rowOff>
    </xdr:to>
    <xdr:pic>
      <xdr:nvPicPr>
        <xdr:cNvPr id="14" name="图片 9">
          <a:extLst>
            <a:ext uri="{FF2B5EF4-FFF2-40B4-BE49-F238E27FC236}">
              <a16:creationId xmlns:a16="http://schemas.microsoft.com/office/drawing/2014/main" id="{48C8A034-7F70-4F39-9653-C5A99220AECD}"/>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8288867" y="24792517"/>
          <a:ext cx="586011" cy="695325"/>
        </a:xfrm>
        <a:prstGeom prst="rect">
          <a:avLst/>
        </a:prstGeom>
        <a:noFill/>
        <a:ln w="9525">
          <a:noFill/>
          <a:miter lim="800000"/>
          <a:headEnd/>
          <a:tailEnd/>
        </a:ln>
      </xdr:spPr>
    </xdr:pic>
    <xdr:clientData/>
  </xdr:twoCellAnchor>
  <xdr:twoCellAnchor>
    <xdr:from>
      <xdr:col>6</xdr:col>
      <xdr:colOff>560917</xdr:colOff>
      <xdr:row>23</xdr:row>
      <xdr:rowOff>63500</xdr:rowOff>
    </xdr:from>
    <xdr:to>
      <xdr:col>6</xdr:col>
      <xdr:colOff>1103842</xdr:colOff>
      <xdr:row>23</xdr:row>
      <xdr:rowOff>844550</xdr:rowOff>
    </xdr:to>
    <xdr:pic>
      <xdr:nvPicPr>
        <xdr:cNvPr id="15" name="图片 10">
          <a:extLst>
            <a:ext uri="{FF2B5EF4-FFF2-40B4-BE49-F238E27FC236}">
              <a16:creationId xmlns:a16="http://schemas.microsoft.com/office/drawing/2014/main" id="{900E171C-A813-4153-A3C1-DC2356450C7B}"/>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8288867" y="25552400"/>
          <a:ext cx="542925" cy="781050"/>
        </a:xfrm>
        <a:prstGeom prst="rect">
          <a:avLst/>
        </a:prstGeom>
        <a:noFill/>
        <a:ln w="9525">
          <a:noFill/>
          <a:miter lim="800000"/>
          <a:headEnd/>
          <a:tailEnd/>
        </a:ln>
      </xdr:spPr>
    </xdr:pic>
    <xdr:clientData/>
  </xdr:twoCellAnchor>
  <xdr:twoCellAnchor editAs="oneCell">
    <xdr:from>
      <xdr:col>6</xdr:col>
      <xdr:colOff>543984</xdr:colOff>
      <xdr:row>31</xdr:row>
      <xdr:rowOff>77258</xdr:rowOff>
    </xdr:from>
    <xdr:to>
      <xdr:col>6</xdr:col>
      <xdr:colOff>1172634</xdr:colOff>
      <xdr:row>31</xdr:row>
      <xdr:rowOff>1023408</xdr:rowOff>
    </xdr:to>
    <xdr:pic>
      <xdr:nvPicPr>
        <xdr:cNvPr id="16" name="图片 9">
          <a:extLst>
            <a:ext uri="{FF2B5EF4-FFF2-40B4-BE49-F238E27FC236}">
              <a16:creationId xmlns:a16="http://schemas.microsoft.com/office/drawing/2014/main" id="{F725EE4A-4AE0-4CBF-96E7-8AB0883C5A06}"/>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8271934" y="33884658"/>
          <a:ext cx="628650" cy="946150"/>
        </a:xfrm>
        <a:prstGeom prst="rect">
          <a:avLst/>
        </a:prstGeom>
        <a:noFill/>
        <a:ln w="9525">
          <a:noFill/>
          <a:miter lim="800000"/>
          <a:headEnd/>
          <a:tailEnd/>
        </a:ln>
      </xdr:spPr>
    </xdr:pic>
    <xdr:clientData/>
  </xdr:twoCellAnchor>
  <xdr:twoCellAnchor editAs="oneCell">
    <xdr:from>
      <xdr:col>6</xdr:col>
      <xdr:colOff>582084</xdr:colOff>
      <xdr:row>32</xdr:row>
      <xdr:rowOff>53975</xdr:rowOff>
    </xdr:from>
    <xdr:to>
      <xdr:col>6</xdr:col>
      <xdr:colOff>1105959</xdr:colOff>
      <xdr:row>32</xdr:row>
      <xdr:rowOff>950383</xdr:rowOff>
    </xdr:to>
    <xdr:pic>
      <xdr:nvPicPr>
        <xdr:cNvPr id="17" name="图片 10">
          <a:extLst>
            <a:ext uri="{FF2B5EF4-FFF2-40B4-BE49-F238E27FC236}">
              <a16:creationId xmlns:a16="http://schemas.microsoft.com/office/drawing/2014/main" id="{EE9DBC4B-AD88-4068-880B-2BE0B2F19CCA}"/>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8310034" y="34915475"/>
          <a:ext cx="523875" cy="896408"/>
        </a:xfrm>
        <a:prstGeom prst="rect">
          <a:avLst/>
        </a:prstGeom>
        <a:noFill/>
        <a:ln w="9525">
          <a:noFill/>
          <a:miter lim="800000"/>
          <a:headEnd/>
          <a:tailEnd/>
        </a:ln>
      </xdr:spPr>
    </xdr:pic>
    <xdr:clientData/>
  </xdr:twoCellAnchor>
  <xdr:twoCellAnchor>
    <xdr:from>
      <xdr:col>6</xdr:col>
      <xdr:colOff>359834</xdr:colOff>
      <xdr:row>37</xdr:row>
      <xdr:rowOff>201083</xdr:rowOff>
    </xdr:from>
    <xdr:to>
      <xdr:col>6</xdr:col>
      <xdr:colOff>1312334</xdr:colOff>
      <xdr:row>37</xdr:row>
      <xdr:rowOff>982986</xdr:rowOff>
    </xdr:to>
    <xdr:pic>
      <xdr:nvPicPr>
        <xdr:cNvPr id="18" name="图片 17">
          <a:extLst>
            <a:ext uri="{FF2B5EF4-FFF2-40B4-BE49-F238E27FC236}">
              <a16:creationId xmlns:a16="http://schemas.microsoft.com/office/drawing/2014/main" id="{09E09724-A52E-42A3-BF4B-7ED3EC73F711}"/>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8087784" y="40282283"/>
          <a:ext cx="952500" cy="781903"/>
        </a:xfrm>
        <a:prstGeom prst="rect">
          <a:avLst/>
        </a:prstGeom>
        <a:noFill/>
        <a:ln w="9525">
          <a:noFill/>
          <a:miter lim="800000"/>
          <a:headEnd/>
          <a:tailEnd/>
        </a:ln>
      </xdr:spPr>
    </xdr:pic>
    <xdr:clientData/>
  </xdr:twoCellAnchor>
  <xdr:twoCellAnchor>
    <xdr:from>
      <xdr:col>6</xdr:col>
      <xdr:colOff>381000</xdr:colOff>
      <xdr:row>38</xdr:row>
      <xdr:rowOff>105834</xdr:rowOff>
    </xdr:from>
    <xdr:to>
      <xdr:col>6</xdr:col>
      <xdr:colOff>1312334</xdr:colOff>
      <xdr:row>38</xdr:row>
      <xdr:rowOff>1037168</xdr:rowOff>
    </xdr:to>
    <xdr:pic>
      <xdr:nvPicPr>
        <xdr:cNvPr id="19" name="图片 18">
          <a:extLst>
            <a:ext uri="{FF2B5EF4-FFF2-40B4-BE49-F238E27FC236}">
              <a16:creationId xmlns:a16="http://schemas.microsoft.com/office/drawing/2014/main" id="{0FFF5886-4935-4C0A-BDB7-17CBF67E70C3}"/>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108950" y="41279234"/>
          <a:ext cx="931334" cy="931334"/>
        </a:xfrm>
        <a:prstGeom prst="rect">
          <a:avLst/>
        </a:prstGeom>
        <a:noFill/>
        <a:ln w="9525">
          <a:noFill/>
          <a:miter lim="800000"/>
          <a:headEnd/>
          <a:tailEnd/>
        </a:ln>
      </xdr:spPr>
    </xdr:pic>
    <xdr:clientData/>
  </xdr:twoCellAnchor>
  <xdr:twoCellAnchor>
    <xdr:from>
      <xdr:col>6</xdr:col>
      <xdr:colOff>228600</xdr:colOff>
      <xdr:row>47</xdr:row>
      <xdr:rowOff>66675</xdr:rowOff>
    </xdr:from>
    <xdr:to>
      <xdr:col>6</xdr:col>
      <xdr:colOff>1333500</xdr:colOff>
      <xdr:row>47</xdr:row>
      <xdr:rowOff>1019175</xdr:rowOff>
    </xdr:to>
    <xdr:pic>
      <xdr:nvPicPr>
        <xdr:cNvPr id="20" name="图片 59" descr="QQ图片20171124150919">
          <a:extLst>
            <a:ext uri="{FF2B5EF4-FFF2-40B4-BE49-F238E27FC236}">
              <a16:creationId xmlns:a16="http://schemas.microsoft.com/office/drawing/2014/main" id="{04683510-8500-4ED8-B392-C0BF5D0370C9}"/>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7956550" y="51057175"/>
          <a:ext cx="1104900" cy="952500"/>
        </a:xfrm>
        <a:prstGeom prst="rect">
          <a:avLst/>
        </a:prstGeom>
        <a:noFill/>
        <a:ln w="9525">
          <a:noFill/>
          <a:miter lim="800000"/>
          <a:headEnd/>
          <a:tailEnd/>
        </a:ln>
      </xdr:spPr>
    </xdr:pic>
    <xdr:clientData/>
  </xdr:twoCellAnchor>
  <xdr:twoCellAnchor>
    <xdr:from>
      <xdr:col>6</xdr:col>
      <xdr:colOff>123825</xdr:colOff>
      <xdr:row>48</xdr:row>
      <xdr:rowOff>428625</xdr:rowOff>
    </xdr:from>
    <xdr:to>
      <xdr:col>6</xdr:col>
      <xdr:colOff>1457325</xdr:colOff>
      <xdr:row>48</xdr:row>
      <xdr:rowOff>990600</xdr:rowOff>
    </xdr:to>
    <xdr:pic>
      <xdr:nvPicPr>
        <xdr:cNvPr id="21" name="图片 31">
          <a:extLst>
            <a:ext uri="{FF2B5EF4-FFF2-40B4-BE49-F238E27FC236}">
              <a16:creationId xmlns:a16="http://schemas.microsoft.com/office/drawing/2014/main" id="{104E0C91-E3CC-4625-8C4F-09C569260BA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rot="10800000" flipV="1">
          <a:off x="7851775" y="52492275"/>
          <a:ext cx="1333500" cy="561975"/>
        </a:xfrm>
        <a:prstGeom prst="rect">
          <a:avLst/>
        </a:prstGeom>
        <a:noFill/>
        <a:ln w="9525">
          <a:noFill/>
          <a:miter lim="800000"/>
          <a:headEnd/>
          <a:tailEnd/>
        </a:ln>
      </xdr:spPr>
    </xdr:pic>
    <xdr:clientData/>
  </xdr:twoCellAnchor>
  <xdr:twoCellAnchor>
    <xdr:from>
      <xdr:col>6</xdr:col>
      <xdr:colOff>180974</xdr:colOff>
      <xdr:row>49</xdr:row>
      <xdr:rowOff>149556</xdr:rowOff>
    </xdr:from>
    <xdr:to>
      <xdr:col>6</xdr:col>
      <xdr:colOff>1333499</xdr:colOff>
      <xdr:row>49</xdr:row>
      <xdr:rowOff>1009649</xdr:rowOff>
    </xdr:to>
    <xdr:pic>
      <xdr:nvPicPr>
        <xdr:cNvPr id="22" name="图片 8" descr="65d425dcd64be437521374e1b18c9b0">
          <a:extLst>
            <a:ext uri="{FF2B5EF4-FFF2-40B4-BE49-F238E27FC236}">
              <a16:creationId xmlns:a16="http://schemas.microsoft.com/office/drawing/2014/main" id="{D62095EB-8EE2-4206-8151-DF99D2207B5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7908924" y="53375256"/>
          <a:ext cx="1152525" cy="860093"/>
        </a:xfrm>
        <a:prstGeom prst="rect">
          <a:avLst/>
        </a:prstGeom>
        <a:noFill/>
        <a:ln w="9525">
          <a:noFill/>
          <a:miter lim="800000"/>
          <a:headEnd/>
          <a:tailEnd/>
        </a:ln>
      </xdr:spPr>
    </xdr:pic>
    <xdr:clientData/>
  </xdr:twoCellAnchor>
  <xdr:twoCellAnchor>
    <xdr:from>
      <xdr:col>6</xdr:col>
      <xdr:colOff>460803</xdr:colOff>
      <xdr:row>53</xdr:row>
      <xdr:rowOff>113304</xdr:rowOff>
    </xdr:from>
    <xdr:to>
      <xdr:col>6</xdr:col>
      <xdr:colOff>1199964</xdr:colOff>
      <xdr:row>53</xdr:row>
      <xdr:rowOff>1177863</xdr:rowOff>
    </xdr:to>
    <xdr:pic>
      <xdr:nvPicPr>
        <xdr:cNvPr id="23" name="Picture 17" descr="baeaf86bdcb4970180f31587fb40994">
          <a:extLst>
            <a:ext uri="{FF2B5EF4-FFF2-40B4-BE49-F238E27FC236}">
              <a16:creationId xmlns:a16="http://schemas.microsoft.com/office/drawing/2014/main" id="{1B28EB50-C0C7-42CC-87A5-6F6DEC93C35E}"/>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8188753" y="57606204"/>
          <a:ext cx="739161" cy="1064559"/>
        </a:xfrm>
        <a:prstGeom prst="rect">
          <a:avLst/>
        </a:prstGeom>
        <a:noFill/>
        <a:ln w="9525">
          <a:noFill/>
          <a:miter lim="800000"/>
          <a:headEnd/>
          <a:tailEnd/>
        </a:ln>
      </xdr:spPr>
    </xdr:pic>
    <xdr:clientData/>
  </xdr:twoCellAnchor>
  <xdr:twoCellAnchor editAs="oneCell">
    <xdr:from>
      <xdr:col>6</xdr:col>
      <xdr:colOff>444500</xdr:colOff>
      <xdr:row>17</xdr:row>
      <xdr:rowOff>1782152</xdr:rowOff>
    </xdr:from>
    <xdr:to>
      <xdr:col>6</xdr:col>
      <xdr:colOff>1301750</xdr:colOff>
      <xdr:row>17</xdr:row>
      <xdr:rowOff>3428235</xdr:rowOff>
    </xdr:to>
    <xdr:pic>
      <xdr:nvPicPr>
        <xdr:cNvPr id="24" name="图片 28" descr="四节成人盲杖">
          <a:extLst>
            <a:ext uri="{FF2B5EF4-FFF2-40B4-BE49-F238E27FC236}">
              <a16:creationId xmlns:a16="http://schemas.microsoft.com/office/drawing/2014/main" id="{7A7FE08F-3B86-41D5-BF31-8B649E9F2A68}"/>
            </a:ext>
          </a:extLst>
        </xdr:cNvPr>
        <xdr:cNvPicPr>
          <a:picLocks noChangeAspect="1"/>
        </xdr:cNvPicPr>
      </xdr:nvPicPr>
      <xdr:blipFill>
        <a:blip xmlns:r="http://schemas.openxmlformats.org/officeDocument/2006/relationships" r:embed="rId23"/>
        <a:stretch>
          <a:fillRect/>
        </a:stretch>
      </xdr:blipFill>
      <xdr:spPr>
        <a:xfrm>
          <a:off x="8172450" y="10278452"/>
          <a:ext cx="857250" cy="1646083"/>
        </a:xfrm>
        <a:prstGeom prst="rect">
          <a:avLst/>
        </a:prstGeom>
      </xdr:spPr>
    </xdr:pic>
    <xdr:clientData/>
  </xdr:twoCellAnchor>
  <xdr:twoCellAnchor editAs="oneCell">
    <xdr:from>
      <xdr:col>6</xdr:col>
      <xdr:colOff>92710</xdr:colOff>
      <xdr:row>18</xdr:row>
      <xdr:rowOff>1556385</xdr:rowOff>
    </xdr:from>
    <xdr:to>
      <xdr:col>6</xdr:col>
      <xdr:colOff>1543050</xdr:colOff>
      <xdr:row>18</xdr:row>
      <xdr:rowOff>3006725</xdr:rowOff>
    </xdr:to>
    <xdr:pic>
      <xdr:nvPicPr>
        <xdr:cNvPr id="25" name="图片 29" descr="四节成人滚轮盲杖">
          <a:extLst>
            <a:ext uri="{FF2B5EF4-FFF2-40B4-BE49-F238E27FC236}">
              <a16:creationId xmlns:a16="http://schemas.microsoft.com/office/drawing/2014/main" id="{F3E66AED-A979-4C1A-9203-1C36C9C15971}"/>
            </a:ext>
          </a:extLst>
        </xdr:cNvPr>
        <xdr:cNvPicPr>
          <a:picLocks noChangeAspect="1"/>
        </xdr:cNvPicPr>
      </xdr:nvPicPr>
      <xdr:blipFill>
        <a:blip xmlns:r="http://schemas.openxmlformats.org/officeDocument/2006/relationships" r:embed="rId24"/>
        <a:stretch>
          <a:fillRect/>
        </a:stretch>
      </xdr:blipFill>
      <xdr:spPr>
        <a:xfrm>
          <a:off x="7820660" y="14853285"/>
          <a:ext cx="1450340" cy="1450340"/>
        </a:xfrm>
        <a:prstGeom prst="rect">
          <a:avLst/>
        </a:prstGeom>
      </xdr:spPr>
    </xdr:pic>
    <xdr:clientData/>
  </xdr:twoCellAnchor>
  <xdr:twoCellAnchor editAs="oneCell">
    <xdr:from>
      <xdr:col>6</xdr:col>
      <xdr:colOff>147743</xdr:colOff>
      <xdr:row>19</xdr:row>
      <xdr:rowOff>2218902</xdr:rowOff>
    </xdr:from>
    <xdr:to>
      <xdr:col>6</xdr:col>
      <xdr:colOff>1540933</xdr:colOff>
      <xdr:row>19</xdr:row>
      <xdr:rowOff>3612092</xdr:rowOff>
    </xdr:to>
    <xdr:pic>
      <xdr:nvPicPr>
        <xdr:cNvPr id="26" name="图片 30" descr="四节成人闪光滚轮盲杖">
          <a:extLst>
            <a:ext uri="{FF2B5EF4-FFF2-40B4-BE49-F238E27FC236}">
              <a16:creationId xmlns:a16="http://schemas.microsoft.com/office/drawing/2014/main" id="{0F7EC5D3-8E41-4D0B-931F-69EDA989DF5A}"/>
            </a:ext>
          </a:extLst>
        </xdr:cNvPr>
        <xdr:cNvPicPr>
          <a:picLocks noChangeAspect="1"/>
        </xdr:cNvPicPr>
      </xdr:nvPicPr>
      <xdr:blipFill>
        <a:blip xmlns:r="http://schemas.openxmlformats.org/officeDocument/2006/relationships" r:embed="rId25"/>
        <a:stretch>
          <a:fillRect/>
        </a:stretch>
      </xdr:blipFill>
      <xdr:spPr>
        <a:xfrm>
          <a:off x="7875693" y="20703752"/>
          <a:ext cx="1393190" cy="1393190"/>
        </a:xfrm>
        <a:prstGeom prst="rect">
          <a:avLst/>
        </a:prstGeom>
      </xdr:spPr>
    </xdr:pic>
    <xdr:clientData/>
  </xdr:twoCellAnchor>
  <xdr:twoCellAnchor editAs="oneCell">
    <xdr:from>
      <xdr:col>6</xdr:col>
      <xdr:colOff>15875</xdr:colOff>
      <xdr:row>56</xdr:row>
      <xdr:rowOff>730249</xdr:rowOff>
    </xdr:from>
    <xdr:to>
      <xdr:col>7</xdr:col>
      <xdr:colOff>234315</xdr:colOff>
      <xdr:row>56</xdr:row>
      <xdr:rowOff>1846579</xdr:rowOff>
    </xdr:to>
    <xdr:pic>
      <xdr:nvPicPr>
        <xdr:cNvPr id="27" name="图片 32" descr="344c101a7f231125f65d1a1cdc7222f">
          <a:extLst>
            <a:ext uri="{FF2B5EF4-FFF2-40B4-BE49-F238E27FC236}">
              <a16:creationId xmlns:a16="http://schemas.microsoft.com/office/drawing/2014/main" id="{F499C162-536D-439B-9F9B-13F1B10A654B}"/>
            </a:ext>
          </a:extLst>
        </xdr:cNvPr>
        <xdr:cNvPicPr>
          <a:picLocks noChangeAspect="1"/>
        </xdr:cNvPicPr>
      </xdr:nvPicPr>
      <xdr:blipFill>
        <a:blip xmlns:r="http://schemas.openxmlformats.org/officeDocument/2006/relationships" r:embed="rId26"/>
        <a:stretch>
          <a:fillRect/>
        </a:stretch>
      </xdr:blipFill>
      <xdr:spPr>
        <a:xfrm>
          <a:off x="7743825" y="60210699"/>
          <a:ext cx="1850390" cy="1116330"/>
        </a:xfrm>
        <a:prstGeom prst="rect">
          <a:avLst/>
        </a:prstGeom>
      </xdr:spPr>
    </xdr:pic>
    <xdr:clientData/>
  </xdr:twoCellAnchor>
  <xdr:twoCellAnchor editAs="oneCell">
    <xdr:from>
      <xdr:col>5</xdr:col>
      <xdr:colOff>1294344</xdr:colOff>
      <xdr:row>59</xdr:row>
      <xdr:rowOff>963084</xdr:rowOff>
    </xdr:from>
    <xdr:to>
      <xdr:col>7</xdr:col>
      <xdr:colOff>130389</xdr:colOff>
      <xdr:row>59</xdr:row>
      <xdr:rowOff>2372149</xdr:rowOff>
    </xdr:to>
    <xdr:pic>
      <xdr:nvPicPr>
        <xdr:cNvPr id="28" name="图片 33" descr="abbcf0e51d6499b6ba82cea0e4d92ab">
          <a:extLst>
            <a:ext uri="{FF2B5EF4-FFF2-40B4-BE49-F238E27FC236}">
              <a16:creationId xmlns:a16="http://schemas.microsoft.com/office/drawing/2014/main" id="{19383E67-284C-425A-9D54-00DB769F9663}"/>
            </a:ext>
          </a:extLst>
        </xdr:cNvPr>
        <xdr:cNvPicPr>
          <a:picLocks noChangeAspect="1"/>
        </xdr:cNvPicPr>
      </xdr:nvPicPr>
      <xdr:blipFill>
        <a:blip xmlns:r="http://schemas.openxmlformats.org/officeDocument/2006/relationships" r:embed="rId27"/>
        <a:stretch>
          <a:fillRect/>
        </a:stretch>
      </xdr:blipFill>
      <xdr:spPr>
        <a:xfrm>
          <a:off x="7536394" y="63821734"/>
          <a:ext cx="1953895" cy="1409065"/>
        </a:xfrm>
        <a:prstGeom prst="rect">
          <a:avLst/>
        </a:prstGeom>
      </xdr:spPr>
    </xdr:pic>
    <xdr:clientData/>
  </xdr:twoCellAnchor>
  <xdr:twoCellAnchor editAs="oneCell">
    <xdr:from>
      <xdr:col>6</xdr:col>
      <xdr:colOff>141818</xdr:colOff>
      <xdr:row>27</xdr:row>
      <xdr:rowOff>381000</xdr:rowOff>
    </xdr:from>
    <xdr:to>
      <xdr:col>7</xdr:col>
      <xdr:colOff>0</xdr:colOff>
      <xdr:row>27</xdr:row>
      <xdr:rowOff>1195916</xdr:rowOff>
    </xdr:to>
    <xdr:pic>
      <xdr:nvPicPr>
        <xdr:cNvPr id="29" name="图片 35" descr="f99fcc4d7a7a50d8a3fbd5ec01e73b5">
          <a:extLst>
            <a:ext uri="{FF2B5EF4-FFF2-40B4-BE49-F238E27FC236}">
              <a16:creationId xmlns:a16="http://schemas.microsoft.com/office/drawing/2014/main" id="{FD435917-A6E2-4188-B1AB-0E446F8532FA}"/>
            </a:ext>
          </a:extLst>
        </xdr:cNvPr>
        <xdr:cNvPicPr>
          <a:picLocks noChangeAspect="1"/>
        </xdr:cNvPicPr>
      </xdr:nvPicPr>
      <xdr:blipFill>
        <a:blip xmlns:r="http://schemas.openxmlformats.org/officeDocument/2006/relationships" r:embed="rId28"/>
        <a:srcRect l="4167" t="24650" r="8333" b="21853"/>
        <a:stretch>
          <a:fillRect/>
        </a:stretch>
      </xdr:blipFill>
      <xdr:spPr>
        <a:xfrm>
          <a:off x="7869768" y="29603700"/>
          <a:ext cx="1490132" cy="814916"/>
        </a:xfrm>
        <a:prstGeom prst="rect">
          <a:avLst/>
        </a:prstGeom>
      </xdr:spPr>
    </xdr:pic>
    <xdr:clientData/>
  </xdr:twoCellAnchor>
  <xdr:twoCellAnchor editAs="oneCell">
    <xdr:from>
      <xdr:col>6</xdr:col>
      <xdr:colOff>95251</xdr:colOff>
      <xdr:row>28</xdr:row>
      <xdr:rowOff>794662</xdr:rowOff>
    </xdr:from>
    <xdr:to>
      <xdr:col>7</xdr:col>
      <xdr:colOff>1</xdr:colOff>
      <xdr:row>28</xdr:row>
      <xdr:rowOff>1642826</xdr:rowOff>
    </xdr:to>
    <xdr:pic>
      <xdr:nvPicPr>
        <xdr:cNvPr id="30" name="图片 36">
          <a:extLst>
            <a:ext uri="{FF2B5EF4-FFF2-40B4-BE49-F238E27FC236}">
              <a16:creationId xmlns:a16="http://schemas.microsoft.com/office/drawing/2014/main" id="{043D9614-64E9-4379-ACE0-66D2E805D20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23201" y="31427062"/>
          <a:ext cx="1536700" cy="848164"/>
        </a:xfrm>
        <a:prstGeom prst="rect">
          <a:avLst/>
        </a:prstGeom>
      </xdr:spPr>
    </xdr:pic>
    <xdr:clientData/>
  </xdr:twoCellAnchor>
  <xdr:twoCellAnchor editAs="oneCell">
    <xdr:from>
      <xdr:col>6</xdr:col>
      <xdr:colOff>127000</xdr:colOff>
      <xdr:row>33</xdr:row>
      <xdr:rowOff>190500</xdr:rowOff>
    </xdr:from>
    <xdr:to>
      <xdr:col>6</xdr:col>
      <xdr:colOff>1631710</xdr:colOff>
      <xdr:row>33</xdr:row>
      <xdr:rowOff>1714501</xdr:rowOff>
    </xdr:to>
    <xdr:pic>
      <xdr:nvPicPr>
        <xdr:cNvPr id="31" name="图片 37">
          <a:extLst>
            <a:ext uri="{FF2B5EF4-FFF2-40B4-BE49-F238E27FC236}">
              <a16:creationId xmlns:a16="http://schemas.microsoft.com/office/drawing/2014/main" id="{478165C6-06D1-4D03-A7FE-E0F03B8A76C9}"/>
            </a:ext>
          </a:extLst>
        </xdr:cNvPr>
        <xdr:cNvPicPr>
          <a:picLocks noChangeAspect="1"/>
        </xdr:cNvPicPr>
      </xdr:nvPicPr>
      <xdr:blipFill>
        <a:blip xmlns:r="http://schemas.openxmlformats.org/officeDocument/2006/relationships" r:embed="rId30"/>
        <a:stretch>
          <a:fillRect/>
        </a:stretch>
      </xdr:blipFill>
      <xdr:spPr>
        <a:xfrm>
          <a:off x="7854950" y="36029900"/>
          <a:ext cx="1504710" cy="1524001"/>
        </a:xfrm>
        <a:prstGeom prst="rect">
          <a:avLst/>
        </a:prstGeom>
      </xdr:spPr>
    </xdr:pic>
    <xdr:clientData/>
  </xdr:twoCellAnchor>
  <xdr:twoCellAnchor editAs="oneCell">
    <xdr:from>
      <xdr:col>6</xdr:col>
      <xdr:colOff>53447</xdr:colOff>
      <xdr:row>34</xdr:row>
      <xdr:rowOff>211667</xdr:rowOff>
    </xdr:from>
    <xdr:to>
      <xdr:col>6</xdr:col>
      <xdr:colOff>1631949</xdr:colOff>
      <xdr:row>34</xdr:row>
      <xdr:rowOff>1428751</xdr:rowOff>
    </xdr:to>
    <xdr:pic>
      <xdr:nvPicPr>
        <xdr:cNvPr id="32" name="图片 38">
          <a:extLst>
            <a:ext uri="{FF2B5EF4-FFF2-40B4-BE49-F238E27FC236}">
              <a16:creationId xmlns:a16="http://schemas.microsoft.com/office/drawing/2014/main" id="{2C8D08DF-075F-4970-BD0E-776CA38F306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781397" y="37860817"/>
          <a:ext cx="1578502" cy="1217084"/>
        </a:xfrm>
        <a:prstGeom prst="rect">
          <a:avLst/>
        </a:prstGeom>
      </xdr:spPr>
    </xdr:pic>
    <xdr:clientData/>
  </xdr:twoCellAnchor>
  <xdr:twoCellAnchor>
    <xdr:from>
      <xdr:col>6</xdr:col>
      <xdr:colOff>63500</xdr:colOff>
      <xdr:row>39</xdr:row>
      <xdr:rowOff>560916</xdr:rowOff>
    </xdr:from>
    <xdr:to>
      <xdr:col>6</xdr:col>
      <xdr:colOff>1670796</xdr:colOff>
      <xdr:row>39</xdr:row>
      <xdr:rowOff>1637241</xdr:rowOff>
    </xdr:to>
    <xdr:pic>
      <xdr:nvPicPr>
        <xdr:cNvPr id="33" name="图片 39" descr="主图2">
          <a:extLst>
            <a:ext uri="{FF2B5EF4-FFF2-40B4-BE49-F238E27FC236}">
              <a16:creationId xmlns:a16="http://schemas.microsoft.com/office/drawing/2014/main" id="{7CCF6773-C45F-46CC-A630-AA18F8B9A269}"/>
            </a:ext>
          </a:extLst>
        </xdr:cNvPr>
        <xdr:cNvPicPr>
          <a:picLocks noChangeAspect="1"/>
        </xdr:cNvPicPr>
      </xdr:nvPicPr>
      <xdr:blipFill>
        <a:blip xmlns:r="http://schemas.openxmlformats.org/officeDocument/2006/relationships" r:embed="rId32"/>
        <a:stretch>
          <a:fillRect/>
        </a:stretch>
      </xdr:blipFill>
      <xdr:spPr>
        <a:xfrm>
          <a:off x="7791450" y="42858266"/>
          <a:ext cx="1569196" cy="1076325"/>
        </a:xfrm>
        <a:prstGeom prst="rect">
          <a:avLst/>
        </a:prstGeom>
      </xdr:spPr>
    </xdr:pic>
    <xdr:clientData/>
  </xdr:twoCellAnchor>
  <xdr:twoCellAnchor>
    <xdr:from>
      <xdr:col>6</xdr:col>
      <xdr:colOff>137584</xdr:colOff>
      <xdr:row>50</xdr:row>
      <xdr:rowOff>328083</xdr:rowOff>
    </xdr:from>
    <xdr:to>
      <xdr:col>6</xdr:col>
      <xdr:colOff>1569868</xdr:colOff>
      <xdr:row>50</xdr:row>
      <xdr:rowOff>2166408</xdr:rowOff>
    </xdr:to>
    <xdr:pic>
      <xdr:nvPicPr>
        <xdr:cNvPr id="34" name="图片 40" descr="主图1">
          <a:extLst>
            <a:ext uri="{FF2B5EF4-FFF2-40B4-BE49-F238E27FC236}">
              <a16:creationId xmlns:a16="http://schemas.microsoft.com/office/drawing/2014/main" id="{824EAFB4-E939-41AC-B025-2B40D8E2E74C}"/>
            </a:ext>
          </a:extLst>
        </xdr:cNvPr>
        <xdr:cNvPicPr>
          <a:picLocks noChangeAspect="1"/>
        </xdr:cNvPicPr>
      </xdr:nvPicPr>
      <xdr:blipFill>
        <a:blip xmlns:r="http://schemas.openxmlformats.org/officeDocument/2006/relationships" r:embed="rId33"/>
        <a:stretch>
          <a:fillRect/>
        </a:stretch>
      </xdr:blipFill>
      <xdr:spPr>
        <a:xfrm>
          <a:off x="7865534" y="54684083"/>
          <a:ext cx="1432284" cy="1838325"/>
        </a:xfrm>
        <a:prstGeom prst="rect">
          <a:avLst/>
        </a:prstGeom>
      </xdr:spPr>
    </xdr:pic>
    <xdr:clientData/>
  </xdr:twoCellAnchor>
  <xdr:twoCellAnchor editAs="oneCell">
    <xdr:from>
      <xdr:col>6</xdr:col>
      <xdr:colOff>317499</xdr:colOff>
      <xdr:row>7</xdr:row>
      <xdr:rowOff>42139</xdr:rowOff>
    </xdr:from>
    <xdr:to>
      <xdr:col>6</xdr:col>
      <xdr:colOff>1489074</xdr:colOff>
      <xdr:row>10</xdr:row>
      <xdr:rowOff>121707</xdr:rowOff>
    </xdr:to>
    <xdr:pic>
      <xdr:nvPicPr>
        <xdr:cNvPr id="35" name="Picture 1">
          <a:extLst>
            <a:ext uri="{FF2B5EF4-FFF2-40B4-BE49-F238E27FC236}">
              <a16:creationId xmlns:a16="http://schemas.microsoft.com/office/drawing/2014/main" id="{7B467618-3022-4F1E-9936-22FDC16B813F}"/>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8045449" y="2531339"/>
          <a:ext cx="1171575" cy="670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338667</xdr:colOff>
      <xdr:row>6</xdr:row>
      <xdr:rowOff>306917</xdr:rowOff>
    </xdr:from>
    <xdr:to>
      <xdr:col>6</xdr:col>
      <xdr:colOff>1507772</xdr:colOff>
      <xdr:row>6</xdr:row>
      <xdr:rowOff>796289</xdr:rowOff>
    </xdr:to>
    <xdr:pic>
      <xdr:nvPicPr>
        <xdr:cNvPr id="36" name="图片 43">
          <a:extLst>
            <a:ext uri="{FF2B5EF4-FFF2-40B4-BE49-F238E27FC236}">
              <a16:creationId xmlns:a16="http://schemas.microsoft.com/office/drawing/2014/main" id="{7E9870FD-483C-4844-986A-6C854164E497}"/>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066617" y="1792817"/>
          <a:ext cx="1169105" cy="48937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73379</xdr:rowOff>
    </xdr:from>
    <xdr:to>
      <xdr:col>4</xdr:col>
      <xdr:colOff>103785</xdr:colOff>
      <xdr:row>9</xdr:row>
      <xdr:rowOff>148168</xdr:rowOff>
    </xdr:to>
    <xdr:pic>
      <xdr:nvPicPr>
        <xdr:cNvPr id="2" name="Picture 1">
          <a:extLst>
            <a:ext uri="{FF2B5EF4-FFF2-40B4-BE49-F238E27FC236}">
              <a16:creationId xmlns:a16="http://schemas.microsoft.com/office/drawing/2014/main" id="{D804E277-5767-4E00-B85D-8DE2C07060A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235657"/>
          <a:ext cx="5085007" cy="1358900"/>
        </a:xfrm>
        <a:prstGeom prst="rect">
          <a:avLst/>
        </a:prstGeom>
        <a:noFill/>
        <a:ln w="1">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18020</xdr:rowOff>
    </xdr:to>
    <xdr:pic>
      <xdr:nvPicPr>
        <xdr:cNvPr id="4" name="Graphic 3" descr="Home">
          <a:hlinkClick xmlns:r="http://schemas.openxmlformats.org/officeDocument/2006/relationships" r:id="rId1" tooltip="Go to Guide"/>
          <a:extLst>
            <a:ext uri="{FF2B5EF4-FFF2-40B4-BE49-F238E27FC236}">
              <a16:creationId xmlns:a16="http://schemas.microsoft.com/office/drawing/2014/main" id="{742540D1-7F74-4847-908C-A3D90E1AFC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873250" y="0"/>
          <a:ext cx="557389" cy="557770"/>
        </a:xfrm>
        <a:prstGeom prst="rect">
          <a:avLst/>
        </a:prstGeom>
      </xdr:spPr>
    </xdr:pic>
    <xdr:clientData/>
  </xdr:twoCellAnchor>
  <xdr:twoCellAnchor editAs="oneCell">
    <xdr:from>
      <xdr:col>2</xdr:col>
      <xdr:colOff>1190625</xdr:colOff>
      <xdr:row>0</xdr:row>
      <xdr:rowOff>7937</xdr:rowOff>
    </xdr:from>
    <xdr:to>
      <xdr:col>2</xdr:col>
      <xdr:colOff>1797403</xdr:colOff>
      <xdr:row>2</xdr:row>
      <xdr:rowOff>77972</xdr:rowOff>
    </xdr:to>
    <xdr:pic>
      <xdr:nvPicPr>
        <xdr:cNvPr id="5" name="Graphic 4" descr="Presentation with pie chart">
          <a:hlinkClick xmlns:r="http://schemas.openxmlformats.org/officeDocument/2006/relationships" r:id="rId4" tooltip="Go to Results"/>
          <a:extLst>
            <a:ext uri="{FF2B5EF4-FFF2-40B4-BE49-F238E27FC236}">
              <a16:creationId xmlns:a16="http://schemas.microsoft.com/office/drawing/2014/main" id="{E2A3B0EC-5142-4444-B362-A2FD2105A9B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3063875" y="7937"/>
          <a:ext cx="606778" cy="6097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1960563</xdr:colOff>
      <xdr:row>0</xdr:row>
      <xdr:rowOff>0</xdr:rowOff>
    </xdr:from>
    <xdr:to>
      <xdr:col>1</xdr:col>
      <xdr:colOff>2517952</xdr:colOff>
      <xdr:row>2</xdr:row>
      <xdr:rowOff>18020</xdr:rowOff>
    </xdr:to>
    <xdr:pic>
      <xdr:nvPicPr>
        <xdr:cNvPr id="10" name="Graphic 9" descr="Home">
          <a:hlinkClick xmlns:r="http://schemas.openxmlformats.org/officeDocument/2006/relationships" r:id="rId1" tooltip="Go to Guide"/>
          <a:extLst>
            <a:ext uri="{FF2B5EF4-FFF2-40B4-BE49-F238E27FC236}">
              <a16:creationId xmlns:a16="http://schemas.microsoft.com/office/drawing/2014/main" id="{ACC3F45B-526C-4F6C-B239-BBA3D05460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571751" y="0"/>
          <a:ext cx="557389" cy="557770"/>
        </a:xfrm>
        <a:prstGeom prst="rect">
          <a:avLst/>
        </a:prstGeom>
      </xdr:spPr>
    </xdr:pic>
    <xdr:clientData/>
  </xdr:twoCellAnchor>
  <xdr:twoCellAnchor editAs="oneCell">
    <xdr:from>
      <xdr:col>1</xdr:col>
      <xdr:colOff>3151188</xdr:colOff>
      <xdr:row>0</xdr:row>
      <xdr:rowOff>7937</xdr:rowOff>
    </xdr:from>
    <xdr:to>
      <xdr:col>2</xdr:col>
      <xdr:colOff>408341</xdr:colOff>
      <xdr:row>2</xdr:row>
      <xdr:rowOff>77972</xdr:rowOff>
    </xdr:to>
    <xdr:pic>
      <xdr:nvPicPr>
        <xdr:cNvPr id="11" name="Graphic 10" descr="Presentation with pie chart">
          <a:hlinkClick xmlns:r="http://schemas.openxmlformats.org/officeDocument/2006/relationships" r:id="rId4" tooltip="Go to Results"/>
          <a:extLst>
            <a:ext uri="{FF2B5EF4-FFF2-40B4-BE49-F238E27FC236}">
              <a16:creationId xmlns:a16="http://schemas.microsoft.com/office/drawing/2014/main" id="{699E6CE9-9B8D-48BC-809F-082743AEF6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3762376" y="7937"/>
          <a:ext cx="606778" cy="609785"/>
        </a:xfrm>
        <a:prstGeom prst="rect">
          <a:avLst/>
        </a:prstGeom>
      </xdr:spPr>
    </xdr:pic>
    <xdr:clientData/>
  </xdr:twoCellAnchor>
  <xdr:twoCellAnchor editAs="oneCell">
    <xdr:from>
      <xdr:col>1</xdr:col>
      <xdr:colOff>1984375</xdr:colOff>
      <xdr:row>0</xdr:row>
      <xdr:rowOff>0</xdr:rowOff>
    </xdr:from>
    <xdr:to>
      <xdr:col>1</xdr:col>
      <xdr:colOff>2541764</xdr:colOff>
      <xdr:row>2</xdr:row>
      <xdr:rowOff>18020</xdr:rowOff>
    </xdr:to>
    <xdr:pic>
      <xdr:nvPicPr>
        <xdr:cNvPr id="13" name="Graphic 12" descr="Home">
          <a:hlinkClick xmlns:r="http://schemas.openxmlformats.org/officeDocument/2006/relationships" r:id="rId1" tooltip="Go to Guide"/>
          <a:extLst>
            <a:ext uri="{FF2B5EF4-FFF2-40B4-BE49-F238E27FC236}">
              <a16:creationId xmlns:a16="http://schemas.microsoft.com/office/drawing/2014/main" id="{95E148FE-0045-442D-907E-193ADCC59E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595563" y="0"/>
          <a:ext cx="557389" cy="557770"/>
        </a:xfrm>
        <a:prstGeom prst="rect">
          <a:avLst/>
        </a:prstGeom>
      </xdr:spPr>
    </xdr:pic>
    <xdr:clientData/>
  </xdr:twoCellAnchor>
  <xdr:twoCellAnchor editAs="oneCell">
    <xdr:from>
      <xdr:col>1</xdr:col>
      <xdr:colOff>3175000</xdr:colOff>
      <xdr:row>0</xdr:row>
      <xdr:rowOff>7937</xdr:rowOff>
    </xdr:from>
    <xdr:to>
      <xdr:col>2</xdr:col>
      <xdr:colOff>432153</xdr:colOff>
      <xdr:row>2</xdr:row>
      <xdr:rowOff>77972</xdr:rowOff>
    </xdr:to>
    <xdr:pic>
      <xdr:nvPicPr>
        <xdr:cNvPr id="14" name="Graphic 13" descr="Presentation with pie chart">
          <a:hlinkClick xmlns:r="http://schemas.openxmlformats.org/officeDocument/2006/relationships" r:id="rId4" tooltip="Go to Results"/>
          <a:extLst>
            <a:ext uri="{FF2B5EF4-FFF2-40B4-BE49-F238E27FC236}">
              <a16:creationId xmlns:a16="http://schemas.microsoft.com/office/drawing/2014/main" id="{D600C28C-8699-4451-8AEC-CBC2FAF76A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3786188" y="7937"/>
          <a:ext cx="606778" cy="609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79375</xdr:colOff>
      <xdr:row>0</xdr:row>
      <xdr:rowOff>55562</xdr:rowOff>
    </xdr:from>
    <xdr:to>
      <xdr:col>2</xdr:col>
      <xdr:colOff>636764</xdr:colOff>
      <xdr:row>2</xdr:row>
      <xdr:rowOff>73582</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FE8C2338-7BE5-48A3-9830-A07CEB3BD0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3357563" y="55562"/>
          <a:ext cx="557389" cy="557770"/>
        </a:xfrm>
        <a:prstGeom prst="rect">
          <a:avLst/>
        </a:prstGeom>
      </xdr:spPr>
    </xdr:pic>
    <xdr:clientData/>
  </xdr:twoCellAnchor>
  <xdr:twoCellAnchor editAs="oneCell">
    <xdr:from>
      <xdr:col>3</xdr:col>
      <xdr:colOff>190500</xdr:colOff>
      <xdr:row>0</xdr:row>
      <xdr:rowOff>63499</xdr:rowOff>
    </xdr:from>
    <xdr:to>
      <xdr:col>3</xdr:col>
      <xdr:colOff>797278</xdr:colOff>
      <xdr:row>2</xdr:row>
      <xdr:rowOff>133534</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E70AB1B3-2AD5-47FA-9ED4-B0B825BE40C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4548188" y="63499"/>
          <a:ext cx="606778" cy="609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3905B29D-7D7A-4380-ABCC-A978E6A5AD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817813" y="0"/>
          <a:ext cx="557389" cy="557770"/>
        </a:xfrm>
        <a:prstGeom prst="rect">
          <a:avLst/>
        </a:prstGeom>
      </xdr:spPr>
    </xdr:pic>
    <xdr:clientData/>
  </xdr:twoCellAnchor>
  <xdr:twoCellAnchor editAs="oneCell">
    <xdr:from>
      <xdr:col>2</xdr:col>
      <xdr:colOff>1190625</xdr:colOff>
      <xdr:row>0</xdr:row>
      <xdr:rowOff>7937</xdr:rowOff>
    </xdr:from>
    <xdr:to>
      <xdr:col>3</xdr:col>
      <xdr:colOff>543278</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498E7E5D-E41F-4ACF-A539-1994C5DDF2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4008438" y="7937"/>
          <a:ext cx="606778" cy="609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D9A40E94-58E7-4B5B-9132-5F0EF96DBD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4421188" y="0"/>
          <a:ext cx="557389" cy="557770"/>
        </a:xfrm>
        <a:prstGeom prst="rect">
          <a:avLst/>
        </a:prstGeom>
      </xdr:spPr>
    </xdr:pic>
    <xdr:clientData/>
  </xdr:twoCellAnchor>
  <xdr:twoCellAnchor editAs="oneCell">
    <xdr:from>
      <xdr:col>2</xdr:col>
      <xdr:colOff>1190625</xdr:colOff>
      <xdr:row>0</xdr:row>
      <xdr:rowOff>7937</xdr:rowOff>
    </xdr:from>
    <xdr:to>
      <xdr:col>3</xdr:col>
      <xdr:colOff>352778</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DCBC5942-F630-4B33-B126-4A3983EA63F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5611813" y="7937"/>
          <a:ext cx="606778" cy="6097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3532</xdr:colOff>
      <xdr:row>49</xdr:row>
      <xdr:rowOff>0</xdr:rowOff>
    </xdr:from>
    <xdr:to>
      <xdr:col>3</xdr:col>
      <xdr:colOff>3532</xdr:colOff>
      <xdr:row>49</xdr:row>
      <xdr:rowOff>4233</xdr:rowOff>
    </xdr:to>
    <xdr:grpSp>
      <xdr:nvGrpSpPr>
        <xdr:cNvPr id="2" name="Group 1">
          <a:hlinkClick xmlns:r="http://schemas.openxmlformats.org/officeDocument/2006/relationships" r:id="rId1" tooltip="Go to Data Entry (Program Data)"/>
          <a:extLst>
            <a:ext uri="{FF2B5EF4-FFF2-40B4-BE49-F238E27FC236}">
              <a16:creationId xmlns:a16="http://schemas.microsoft.com/office/drawing/2014/main" id="{9B61C775-37CF-4B70-9C69-BFEB08B6B0EF}"/>
            </a:ext>
          </a:extLst>
        </xdr:cNvPr>
        <xdr:cNvGrpSpPr/>
      </xdr:nvGrpSpPr>
      <xdr:grpSpPr>
        <a:xfrm>
          <a:off x="2456220" y="9548813"/>
          <a:ext cx="0" cy="4233"/>
          <a:chOff x="1504665" y="525780"/>
          <a:chExt cx="914400" cy="1106734"/>
        </a:xfrm>
        <a:solidFill>
          <a:schemeClr val="accent4">
            <a:lumMod val="20000"/>
            <a:lumOff val="80000"/>
          </a:schemeClr>
        </a:solidFill>
      </xdr:grpSpPr>
      <xdr:pic>
        <xdr:nvPicPr>
          <xdr:cNvPr id="3" name="Graphic 2" descr="Pencil">
            <a:extLst>
              <a:ext uri="{FF2B5EF4-FFF2-40B4-BE49-F238E27FC236}">
                <a16:creationId xmlns:a16="http://schemas.microsoft.com/office/drawing/2014/main" id="{F220EE01-C3ED-4EB5-B833-13196B61B7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4" name="Graphic 3" descr="Open book">
            <a:extLst>
              <a:ext uri="{FF2B5EF4-FFF2-40B4-BE49-F238E27FC236}">
                <a16:creationId xmlns:a16="http://schemas.microsoft.com/office/drawing/2014/main" id="{7FFC45C7-7E5A-40B6-A317-D7BAE0BE574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twoCellAnchor>
    <xdr:from>
      <xdr:col>5</xdr:col>
      <xdr:colOff>1186326</xdr:colOff>
      <xdr:row>49</xdr:row>
      <xdr:rowOff>0</xdr:rowOff>
    </xdr:from>
    <xdr:to>
      <xdr:col>6</xdr:col>
      <xdr:colOff>122350</xdr:colOff>
      <xdr:row>49</xdr:row>
      <xdr:rowOff>4233</xdr:rowOff>
    </xdr:to>
    <xdr:grpSp>
      <xdr:nvGrpSpPr>
        <xdr:cNvPr id="9" name="Group 8">
          <a:extLst>
            <a:ext uri="{FF2B5EF4-FFF2-40B4-BE49-F238E27FC236}">
              <a16:creationId xmlns:a16="http://schemas.microsoft.com/office/drawing/2014/main" id="{1305789A-129F-4E54-8689-EBE8FEB68BD5}"/>
            </a:ext>
          </a:extLst>
        </xdr:cNvPr>
        <xdr:cNvGrpSpPr/>
      </xdr:nvGrpSpPr>
      <xdr:grpSpPr>
        <a:xfrm>
          <a:off x="7163264" y="9548813"/>
          <a:ext cx="174274" cy="4233"/>
          <a:chOff x="1504665" y="525780"/>
          <a:chExt cx="914400" cy="1106734"/>
        </a:xfrm>
        <a:solidFill>
          <a:schemeClr val="accent4">
            <a:lumMod val="20000"/>
            <a:lumOff val="80000"/>
          </a:schemeClr>
        </a:solidFill>
      </xdr:grpSpPr>
      <xdr:pic>
        <xdr:nvPicPr>
          <xdr:cNvPr id="10" name="Graphic 9" descr="Pencil">
            <a:extLst>
              <a:ext uri="{FF2B5EF4-FFF2-40B4-BE49-F238E27FC236}">
                <a16:creationId xmlns:a16="http://schemas.microsoft.com/office/drawing/2014/main" id="{55AE9005-8B6E-44FB-B132-51C1436638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676398" y="525780"/>
            <a:ext cx="677333" cy="677333"/>
          </a:xfrm>
          <a:prstGeom prst="rect">
            <a:avLst/>
          </a:prstGeom>
        </xdr:spPr>
      </xdr:pic>
      <xdr:pic>
        <xdr:nvPicPr>
          <xdr:cNvPr id="11" name="Graphic 10" descr="Open book">
            <a:extLst>
              <a:ext uri="{FF2B5EF4-FFF2-40B4-BE49-F238E27FC236}">
                <a16:creationId xmlns:a16="http://schemas.microsoft.com/office/drawing/2014/main" id="{FD626292-18EC-4372-B019-4F6F0A3BA8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1504665" y="718114"/>
            <a:ext cx="914400" cy="914400"/>
          </a:xfrm>
          <a:prstGeom prst="rect">
            <a:avLst/>
          </a:prstGeom>
        </xdr:spPr>
      </xdr:pic>
    </xdr:grpSp>
    <xdr:clientData/>
  </xdr:twoCellAnchor>
  <xdr:twoCellAnchor editAs="oneCell">
    <xdr:from>
      <xdr:col>3</xdr:col>
      <xdr:colOff>0</xdr:colOff>
      <xdr:row>0</xdr:row>
      <xdr:rowOff>0</xdr:rowOff>
    </xdr:from>
    <xdr:to>
      <xdr:col>3</xdr:col>
      <xdr:colOff>557389</xdr:colOff>
      <xdr:row>2</xdr:row>
      <xdr:rowOff>18020</xdr:rowOff>
    </xdr:to>
    <xdr:pic>
      <xdr:nvPicPr>
        <xdr:cNvPr id="8" name="Graphic 7" descr="Home">
          <a:hlinkClick xmlns:r="http://schemas.openxmlformats.org/officeDocument/2006/relationships" r:id="rId6" tooltip="Go to Guide"/>
          <a:extLst>
            <a:ext uri="{FF2B5EF4-FFF2-40B4-BE49-F238E27FC236}">
              <a16:creationId xmlns:a16="http://schemas.microsoft.com/office/drawing/2014/main" id="{27C42303-87CB-480D-93FF-714DBA6490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2452688" y="0"/>
          <a:ext cx="557389" cy="557770"/>
        </a:xfrm>
        <a:prstGeom prst="rect">
          <a:avLst/>
        </a:prstGeom>
      </xdr:spPr>
    </xdr:pic>
    <xdr:clientData/>
  </xdr:twoCellAnchor>
  <xdr:twoCellAnchor editAs="oneCell">
    <xdr:from>
      <xdr:col>3</xdr:col>
      <xdr:colOff>1190625</xdr:colOff>
      <xdr:row>0</xdr:row>
      <xdr:rowOff>7937</xdr:rowOff>
    </xdr:from>
    <xdr:to>
      <xdr:col>3</xdr:col>
      <xdr:colOff>1797403</xdr:colOff>
      <xdr:row>2</xdr:row>
      <xdr:rowOff>77972</xdr:rowOff>
    </xdr:to>
    <xdr:pic>
      <xdr:nvPicPr>
        <xdr:cNvPr id="12" name="Graphic 11" descr="Presentation with pie chart">
          <a:hlinkClick xmlns:r="http://schemas.openxmlformats.org/officeDocument/2006/relationships" r:id="rId9" tooltip="Go to Results"/>
          <a:extLst>
            <a:ext uri="{FF2B5EF4-FFF2-40B4-BE49-F238E27FC236}">
              <a16:creationId xmlns:a16="http://schemas.microsoft.com/office/drawing/2014/main" id="{32662740-88F4-4EAC-AB39-DF58C709227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3643313" y="7937"/>
          <a:ext cx="606778" cy="6097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557389</xdr:colOff>
      <xdr:row>2</xdr:row>
      <xdr:rowOff>18020</xdr:rowOff>
    </xdr:to>
    <xdr:pic>
      <xdr:nvPicPr>
        <xdr:cNvPr id="2" name="Graphic 1" descr="Home">
          <a:hlinkClick xmlns:r="http://schemas.openxmlformats.org/officeDocument/2006/relationships" r:id="rId1" tooltip="Go to Guide"/>
          <a:extLst>
            <a:ext uri="{FF2B5EF4-FFF2-40B4-BE49-F238E27FC236}">
              <a16:creationId xmlns:a16="http://schemas.microsoft.com/office/drawing/2014/main" id="{4A844E5C-D7A4-4375-9F4A-4C0305EB62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2674938" y="0"/>
          <a:ext cx="557389" cy="557770"/>
        </a:xfrm>
        <a:prstGeom prst="rect">
          <a:avLst/>
        </a:prstGeom>
      </xdr:spPr>
    </xdr:pic>
    <xdr:clientData/>
  </xdr:twoCellAnchor>
  <xdr:twoCellAnchor editAs="oneCell">
    <xdr:from>
      <xdr:col>2</xdr:col>
      <xdr:colOff>1190625</xdr:colOff>
      <xdr:row>0</xdr:row>
      <xdr:rowOff>7937</xdr:rowOff>
    </xdr:from>
    <xdr:to>
      <xdr:col>3</xdr:col>
      <xdr:colOff>598841</xdr:colOff>
      <xdr:row>2</xdr:row>
      <xdr:rowOff>77972</xdr:rowOff>
    </xdr:to>
    <xdr:pic>
      <xdr:nvPicPr>
        <xdr:cNvPr id="3" name="Graphic 2" descr="Presentation with pie chart">
          <a:hlinkClick xmlns:r="http://schemas.openxmlformats.org/officeDocument/2006/relationships" r:id="rId4" tooltip="Go to Results"/>
          <a:extLst>
            <a:ext uri="{FF2B5EF4-FFF2-40B4-BE49-F238E27FC236}">
              <a16:creationId xmlns:a16="http://schemas.microsoft.com/office/drawing/2014/main" id="{4D1F62CE-2D99-4096-BBEC-3850445429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3865563" y="7937"/>
          <a:ext cx="606778" cy="609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1119_NSP_AQ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ennifer%20Wong\Box%20Sync\Programs\Health%20Financing\2.%20HIV%20Financing\NSP%20Revision\Concept%20Note\Consolidated%20back-up%20for%20Travor%20(jwong@clintonhealthaccess.org)\HIV-TB%20JCN%20Financial%20Analys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bbosa/Desktop/CHAI/ATscale/UHC%20AT%20Costing/CHCPT_English_202101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P"/>
      <sheetName val="Main"/>
      <sheetName val="procurement commodities"/>
      <sheetName val="Services &amp; Maintenance"/>
      <sheetName val="book 3"/>
      <sheetName val="Management and coordination"/>
      <sheetName val="Research and development"/>
      <sheetName val="Communications"/>
      <sheetName val="Distances"/>
      <sheetName val="Transport and Vehicles"/>
      <sheetName val="Salaries"/>
      <sheetName val="Informatic goods"/>
      <sheetName val="Meetings&amp;event planning"/>
      <sheetName val="ASSUMPTIONS COM"/>
      <sheetName val="Current NSP"/>
      <sheetName val="RSSH HIV NSP"/>
      <sheetName val="OLD NSP&gt;&gt;"/>
      <sheetName val="READ FIRST"/>
      <sheetName val="VMMC"/>
      <sheetName val="Prevention 1"/>
      <sheetName val="Prevention"/>
      <sheetName val="Treatment&amp;Care"/>
      <sheetName val="t&amp;c"/>
      <sheetName val="Sheet5"/>
      <sheetName val="Impact Mitigation"/>
      <sheetName val="PM &amp; Coordination"/>
      <sheetName val="HIV GF"/>
      <sheetName val="RSSH GF"/>
      <sheetName val="1 Prev"/>
      <sheetName val="Sheet6"/>
      <sheetName val="Sheet2"/>
      <sheetName val="UID"/>
      <sheetName val="1.1Assumptions"/>
      <sheetName val="1.2Recurrent Costs"/>
      <sheetName val="Sheet4"/>
      <sheetName val="121119_NSP_AQN"/>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ocation Decisions"/>
      <sheetName val="Disease allocation"/>
      <sheetName val="Allocation activity detail"/>
      <sheetName val="Gap"/>
      <sheetName val="Investment Framework Table"/>
      <sheetName val="HSS components-&gt;"/>
      <sheetName val="HRH"/>
      <sheetName val="Supply Chain"/>
      <sheetName val="Labs"/>
      <sheetName val="FM"/>
      <sheetName val="Exhibits for section 2--&gt;"/>
      <sheetName val="2.1.a HIV Program Areas"/>
      <sheetName val="2.1.a HIV Cost Categories"/>
      <sheetName val="2.1.a TB Program Areas"/>
      <sheetName val="2.1.a TB Cost Categories"/>
      <sheetName val="Other RM data"/>
      <sheetName val="RM data pivot"/>
      <sheetName val="Gap back-up data--&gt;"/>
      <sheetName val="TB Gap data"/>
      <sheetName val="HIV NSP"/>
      <sheetName val="HIV RM Data"/>
      <sheetName val="HIV Unit Commodity Gap --&gt;"/>
      <sheetName val="Commodity needs summarized"/>
      <sheetName val="Summary"/>
      <sheetName val="Annex 1a Pharm &amp; Health Product"/>
      <sheetName val="Annex 1b PSM Related costs"/>
      <sheetName val="5A order 2 Cost savings"/>
      <sheetName val="Commodity Categories"/>
      <sheetName val="HIV-TB JCN Financial Analysis"/>
    </sheetNames>
    <definedNames>
      <definedName name="Header1"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2">
          <cell r="D12">
            <v>4.5999999999999999E-2</v>
          </cell>
        </row>
      </sheetData>
      <sheetData sheetId="26"/>
      <sheetData sheetId="27"/>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ain Menu"/>
      <sheetName val="Guide"/>
      <sheetName val="Diagram"/>
      <sheetName val="Data_Checklist"/>
      <sheetName val="Tool_Configuration"/>
      <sheetName val="Program_Data"/>
      <sheetName val="Program_Structure"/>
      <sheetName val="Preloaded_Package_Configuration"/>
      <sheetName val="Custom_Package"/>
      <sheetName val="Program_Scale-up"/>
      <sheetName val="Coverage"/>
      <sheetName val="Training"/>
      <sheetName val="Equipment"/>
      <sheetName val="Supervision_Management"/>
      <sheetName val="Other_Recurrent_Costs"/>
      <sheetName val="Startup_Capital_Costs"/>
      <sheetName val="Financing"/>
      <sheetName val="Custom_Medicines"/>
      <sheetName val="Custom_STPs_1"/>
      <sheetName val="Custom_STPs_2"/>
      <sheetName val="Custom_STPs_3"/>
      <sheetName val="Custom_STPs_4"/>
      <sheetName val="Custom_STPs_5"/>
      <sheetName val="Custom_STPs_6"/>
      <sheetName val="Custom_STPs_7"/>
      <sheetName val="Custom_STPs_8"/>
      <sheetName val="Custom_STPs_9"/>
      <sheetName val="Custom_STPs_10"/>
      <sheetName val="Preloaded_Package"/>
      <sheetName val="Preloaded_Medicines"/>
      <sheetName val="Preloaded_STPs"/>
      <sheetName val="Summary_Tables"/>
      <sheetName val="Graphs"/>
      <sheetName val="Recurrent Cost_per_Service"/>
      <sheetName val="Medicines_Quantification"/>
      <sheetName val="LiST_Instructions"/>
      <sheetName val="LiST_Mortality"/>
      <sheetName val="LiST_Results"/>
      <sheetName val="LiST_Definitions"/>
      <sheetName val="Bottleneck_Analysis"/>
      <sheetName val="Demography"/>
      <sheetName val="CHW_Supervisor_Manager"/>
      <sheetName val="Summary_CHW"/>
      <sheetName val="Package_Services"/>
      <sheetName val="STP_Summary"/>
      <sheetName val="Quantification"/>
      <sheetName val="Summary_Program"/>
      <sheetName val="Cost_by_Input"/>
      <sheetName val="Cost_by_Program"/>
      <sheetName val="Cost_per_Service2"/>
      <sheetName val="Lists"/>
      <sheetName val="Annex1. Illustrative Package"/>
      <sheetName val="Annex2. Country_Database"/>
    </sheetNames>
    <sheetDataSet>
      <sheetData sheetId="0" refreshError="1"/>
      <sheetData sheetId="1" refreshError="1"/>
      <sheetData sheetId="2" refreshError="1"/>
      <sheetData sheetId="3" refreshError="1"/>
      <sheetData sheetId="4" refreshError="1"/>
      <sheetData sheetId="5" refreshError="1"/>
      <sheetData sheetId="6">
        <row r="16">
          <cell r="D16">
            <v>3.3000000000000002E-2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population.un.org/wpp/Download/Standard/Population/" TargetMode="External"/><Relationship Id="rId1" Type="http://schemas.openxmlformats.org/officeDocument/2006/relationships/hyperlink" Target="https://population.un.org/wpp/Download/Standard/Population/"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R29"/>
  <sheetViews>
    <sheetView showGridLines="0" tabSelected="1" zoomScale="90" zoomScaleNormal="90" workbookViewId="0">
      <selection activeCell="B3" sqref="B3"/>
    </sheetView>
  </sheetViews>
  <sheetFormatPr baseColWidth="10" defaultColWidth="8.5546875" defaultRowHeight="13.8"/>
  <cols>
    <col min="1" max="1" width="4.44140625" style="721" customWidth="1"/>
    <col min="2" max="2" width="18.44140625" style="721" customWidth="1"/>
    <col min="3" max="4" width="8.5546875" style="721"/>
    <col min="5" max="5" width="14.21875" style="721" customWidth="1"/>
    <col min="6" max="16384" width="8.5546875" style="721"/>
  </cols>
  <sheetData>
    <row r="1" spans="1:18" ht="9.4499999999999993" customHeight="1"/>
    <row r="2" spans="1:18" s="722" customFormat="1" ht="42.45" customHeight="1">
      <c r="A2" s="1054" t="s">
        <v>1543</v>
      </c>
      <c r="B2" s="1054"/>
      <c r="C2" s="1054"/>
      <c r="D2" s="1054"/>
      <c r="E2" s="1054"/>
      <c r="F2" s="1054"/>
      <c r="G2" s="1054"/>
      <c r="H2" s="1054"/>
      <c r="I2" s="1054"/>
      <c r="J2" s="1054"/>
      <c r="K2" s="1054"/>
      <c r="L2" s="1054"/>
      <c r="M2" s="1054"/>
      <c r="N2" s="1054"/>
      <c r="O2" s="1054"/>
      <c r="P2" s="1054"/>
      <c r="Q2" s="1054"/>
      <c r="R2" s="1054"/>
    </row>
    <row r="3" spans="1:18" ht="14.4">
      <c r="B3" s="231" t="s">
        <v>1551</v>
      </c>
    </row>
    <row r="4" spans="1:18" ht="20.100000000000001" customHeight="1">
      <c r="A4" s="723"/>
      <c r="B4" s="723"/>
      <c r="C4" s="723"/>
      <c r="D4" s="723"/>
      <c r="E4" s="723"/>
      <c r="F4" s="723"/>
      <c r="G4" s="723"/>
      <c r="H4" s="723"/>
      <c r="I4" s="723"/>
      <c r="J4" s="723"/>
      <c r="K4" s="723"/>
      <c r="L4" s="723"/>
      <c r="M4" s="723"/>
    </row>
    <row r="5" spans="1:18" ht="14.4">
      <c r="A5" s="723"/>
      <c r="B5" s="723"/>
      <c r="C5" s="723"/>
      <c r="D5" s="723"/>
      <c r="E5" s="723"/>
      <c r="F5" s="723"/>
      <c r="G5" s="723"/>
      <c r="H5" s="723"/>
      <c r="I5" s="723"/>
      <c r="J5" s="723"/>
      <c r="K5" s="723"/>
      <c r="L5" s="723"/>
      <c r="M5" s="723"/>
    </row>
    <row r="6" spans="1:18" ht="14.4">
      <c r="A6" s="723"/>
      <c r="B6" s="723"/>
      <c r="F6" s="723"/>
      <c r="G6" s="724"/>
      <c r="H6" s="1055"/>
      <c r="I6" s="1055"/>
      <c r="J6" s="723"/>
      <c r="K6" s="723"/>
      <c r="L6" s="723"/>
      <c r="M6" s="723"/>
    </row>
    <row r="7" spans="1:18" ht="14.4">
      <c r="A7" s="723"/>
      <c r="B7" s="723"/>
      <c r="F7" s="723"/>
      <c r="G7" s="725"/>
      <c r="H7" s="723"/>
      <c r="I7" s="723"/>
      <c r="J7" s="723"/>
      <c r="K7" s="723"/>
      <c r="L7" s="723"/>
      <c r="M7" s="723"/>
    </row>
    <row r="8" spans="1:18" ht="14.4">
      <c r="A8" s="723"/>
      <c r="B8" s="723"/>
      <c r="F8" s="726"/>
      <c r="G8" s="724"/>
      <c r="I8" s="727" t="s">
        <v>1437</v>
      </c>
      <c r="J8" s="723"/>
      <c r="K8" s="723"/>
      <c r="L8" s="723"/>
      <c r="M8" s="723"/>
    </row>
    <row r="9" spans="1:18" ht="14.4">
      <c r="A9" s="723"/>
      <c r="B9" s="723"/>
      <c r="C9" s="723"/>
      <c r="D9" s="723"/>
      <c r="E9" s="723"/>
      <c r="F9" s="723"/>
      <c r="G9" s="723"/>
      <c r="H9" s="723"/>
      <c r="I9" s="723"/>
      <c r="J9" s="723"/>
      <c r="K9" s="723"/>
      <c r="L9" s="723"/>
      <c r="M9" s="723"/>
    </row>
    <row r="10" spans="1:18" ht="14.4">
      <c r="A10" s="723"/>
      <c r="B10" s="723"/>
      <c r="C10" s="723"/>
      <c r="D10" s="723"/>
      <c r="E10" s="723"/>
      <c r="F10" s="728"/>
      <c r="G10" s="723"/>
      <c r="H10" s="723"/>
      <c r="I10" s="723"/>
      <c r="J10" s="723"/>
      <c r="K10" s="723"/>
      <c r="L10" s="723"/>
      <c r="M10" s="723"/>
    </row>
    <row r="11" spans="1:18" ht="14.4">
      <c r="A11" s="723"/>
      <c r="B11" s="723"/>
      <c r="C11" s="723"/>
      <c r="D11" s="723"/>
      <c r="E11" s="723"/>
      <c r="F11" s="723"/>
      <c r="H11" s="725" t="s">
        <v>1438</v>
      </c>
      <c r="J11" s="723"/>
      <c r="K11" s="723"/>
      <c r="L11" s="723"/>
      <c r="M11" s="723"/>
    </row>
    <row r="12" spans="1:18" ht="14.4">
      <c r="A12" s="723"/>
      <c r="B12" s="723"/>
      <c r="C12" s="723"/>
      <c r="D12" s="725" t="s">
        <v>1439</v>
      </c>
      <c r="E12" s="725"/>
      <c r="F12" s="725"/>
      <c r="G12" s="725"/>
      <c r="H12" s="725"/>
      <c r="I12" s="725"/>
      <c r="J12" s="725"/>
      <c r="K12" s="725"/>
      <c r="L12" s="725"/>
      <c r="M12" s="725"/>
      <c r="N12" s="725"/>
      <c r="O12" s="725"/>
    </row>
    <row r="13" spans="1:18" ht="14.4">
      <c r="A13" s="723"/>
      <c r="B13" s="723"/>
      <c r="C13" s="723"/>
      <c r="D13" s="725" t="s">
        <v>1440</v>
      </c>
      <c r="E13" s="725"/>
      <c r="F13" s="725"/>
      <c r="G13" s="725"/>
      <c r="H13" s="725"/>
      <c r="I13" s="725"/>
      <c r="J13" s="725"/>
      <c r="K13" s="725"/>
      <c r="L13" s="725"/>
      <c r="M13" s="725"/>
      <c r="N13" s="725"/>
      <c r="O13" s="725"/>
    </row>
    <row r="14" spans="1:18" ht="14.4">
      <c r="A14" s="723"/>
      <c r="B14" s="723"/>
      <c r="C14" s="723"/>
      <c r="D14" s="723"/>
      <c r="E14" s="723"/>
      <c r="F14" s="723"/>
      <c r="G14" s="723"/>
      <c r="H14" s="723"/>
      <c r="I14" s="723"/>
      <c r="J14" s="723"/>
      <c r="K14" s="723"/>
      <c r="L14" s="723"/>
      <c r="M14" s="723"/>
    </row>
    <row r="15" spans="1:18" ht="14.4">
      <c r="A15" s="723"/>
      <c r="B15" s="723"/>
      <c r="C15" s="723"/>
      <c r="D15" s="723"/>
      <c r="E15" s="723"/>
      <c r="F15" s="723"/>
      <c r="G15" s="723"/>
      <c r="H15" s="723"/>
      <c r="I15" s="723"/>
      <c r="J15" s="723"/>
      <c r="K15" s="723"/>
      <c r="L15" s="723"/>
      <c r="M15" s="723"/>
    </row>
    <row r="16" spans="1:18" ht="14.4">
      <c r="A16" s="723"/>
      <c r="B16" s="723"/>
      <c r="C16" s="723"/>
      <c r="D16" s="723"/>
      <c r="E16" s="723"/>
      <c r="F16"/>
      <c r="G16" s="723"/>
      <c r="H16" s="723"/>
      <c r="I16" s="723"/>
      <c r="J16" s="723"/>
      <c r="K16" s="723"/>
      <c r="L16" s="723"/>
      <c r="M16" s="723"/>
    </row>
    <row r="17" spans="1:13" ht="14.4">
      <c r="A17" s="723"/>
      <c r="B17" s="723"/>
      <c r="C17" s="723"/>
      <c r="D17" s="723"/>
      <c r="E17" s="723"/>
      <c r="F17" s="723"/>
      <c r="G17" s="723"/>
      <c r="H17" s="723"/>
      <c r="I17" s="723"/>
      <c r="J17" s="723"/>
      <c r="K17" s="723"/>
      <c r="L17" s="723"/>
      <c r="M17" s="723"/>
    </row>
    <row r="18" spans="1:13" ht="14.4">
      <c r="A18" s="723"/>
      <c r="B18" s="723"/>
      <c r="C18" s="723"/>
      <c r="D18" s="723"/>
      <c r="E18" s="723"/>
      <c r="F18" s="723"/>
      <c r="G18" s="723"/>
      <c r="H18" s="723"/>
      <c r="I18" s="723"/>
      <c r="J18" s="723"/>
      <c r="K18" s="723"/>
      <c r="L18" s="723"/>
      <c r="M18" s="723"/>
    </row>
    <row r="19" spans="1:13" ht="14.4">
      <c r="A19" s="723"/>
      <c r="B19" s="723"/>
      <c r="C19" s="723"/>
      <c r="D19" s="723"/>
      <c r="E19" s="723"/>
      <c r="F19" s="723"/>
      <c r="G19" s="723"/>
      <c r="H19" s="723"/>
      <c r="I19" s="723"/>
      <c r="J19" s="723"/>
      <c r="K19" s="723"/>
      <c r="L19" s="723"/>
      <c r="M19" s="723"/>
    </row>
    <row r="20" spans="1:13" ht="14.4">
      <c r="A20" s="723"/>
      <c r="B20" s="723"/>
      <c r="C20" s="723"/>
      <c r="D20" s="723"/>
      <c r="E20" s="723"/>
      <c r="F20" s="723"/>
      <c r="G20" s="723"/>
      <c r="H20" s="723"/>
      <c r="I20" s="723"/>
      <c r="J20" s="723"/>
      <c r="K20" s="723"/>
      <c r="L20" s="723"/>
      <c r="M20" s="723"/>
    </row>
    <row r="21" spans="1:13" ht="14.4">
      <c r="A21" s="723"/>
      <c r="B21" s="723"/>
      <c r="C21" s="723"/>
      <c r="D21" s="723"/>
      <c r="E21" s="723"/>
      <c r="F21" s="723"/>
      <c r="G21" s="723"/>
      <c r="H21" s="723"/>
      <c r="I21" s="723"/>
      <c r="J21" s="723"/>
      <c r="K21" s="723"/>
      <c r="L21" s="723"/>
      <c r="M21" s="723"/>
    </row>
    <row r="22" spans="1:13" ht="14.4">
      <c r="A22" s="723"/>
      <c r="B22" s="723"/>
      <c r="C22" s="723"/>
      <c r="D22" s="723"/>
      <c r="E22" s="723"/>
      <c r="F22" s="723"/>
      <c r="G22" s="723"/>
      <c r="H22" s="723"/>
      <c r="I22" s="723"/>
      <c r="J22" s="723"/>
      <c r="K22" s="723"/>
      <c r="L22" s="723"/>
      <c r="M22" s="723"/>
    </row>
    <row r="23" spans="1:13" ht="14.4">
      <c r="A23" s="723"/>
      <c r="B23" s="723"/>
      <c r="C23" s="723"/>
      <c r="D23" s="723"/>
      <c r="E23" s="723"/>
      <c r="F23" s="723"/>
      <c r="G23" s="723"/>
      <c r="H23" s="723"/>
      <c r="I23" s="723"/>
      <c r="J23" s="723"/>
      <c r="K23" s="723"/>
      <c r="L23" s="723"/>
      <c r="M23" s="723"/>
    </row>
    <row r="24" spans="1:13" ht="14.4">
      <c r="A24" s="723"/>
      <c r="B24" s="723"/>
      <c r="C24" s="723"/>
      <c r="D24" s="723"/>
      <c r="E24" s="723"/>
      <c r="F24" s="723"/>
      <c r="G24" s="723"/>
      <c r="H24" s="723"/>
      <c r="I24" s="723"/>
      <c r="J24" s="723"/>
      <c r="K24" s="723"/>
      <c r="L24" s="723"/>
      <c r="M24" s="723"/>
    </row>
    <row r="25" spans="1:13" ht="14.4">
      <c r="A25" s="723"/>
      <c r="B25" s="723"/>
      <c r="C25" s="723"/>
      <c r="D25" s="723"/>
      <c r="E25" s="723"/>
      <c r="F25" s="723"/>
      <c r="G25" s="723"/>
      <c r="H25" s="723"/>
      <c r="I25" s="723"/>
      <c r="J25" s="723"/>
      <c r="K25" s="723"/>
      <c r="L25" s="723"/>
      <c r="M25" s="723"/>
    </row>
    <row r="26" spans="1:13" ht="14.4">
      <c r="A26" s="723"/>
      <c r="B26" s="723"/>
      <c r="C26" s="723"/>
      <c r="D26" s="723"/>
      <c r="E26" s="723"/>
      <c r="F26" s="723"/>
      <c r="G26" s="723"/>
      <c r="H26" s="723"/>
      <c r="I26" s="723"/>
      <c r="J26" s="723"/>
      <c r="K26" s="723"/>
      <c r="L26" s="723"/>
      <c r="M26" s="723"/>
    </row>
    <row r="27" spans="1:13" ht="14.4">
      <c r="A27" s="723"/>
      <c r="B27" s="723"/>
      <c r="C27" s="723"/>
      <c r="D27" s="723"/>
      <c r="E27" s="723"/>
      <c r="F27" s="723"/>
      <c r="G27" s="723"/>
      <c r="H27" s="723"/>
      <c r="I27" s="723"/>
      <c r="J27" s="723"/>
      <c r="K27" s="723"/>
      <c r="L27" s="723"/>
      <c r="M27" s="723"/>
    </row>
    <row r="28" spans="1:13" ht="14.4">
      <c r="A28" s="723"/>
      <c r="B28" s="723"/>
      <c r="C28" s="723"/>
      <c r="D28" s="723"/>
      <c r="E28" s="723"/>
      <c r="F28" s="723"/>
      <c r="G28" s="723"/>
      <c r="H28" s="723"/>
      <c r="I28" s="723"/>
      <c r="J28" s="723"/>
      <c r="K28" s="723"/>
      <c r="L28" s="723"/>
      <c r="M28" s="723"/>
    </row>
    <row r="29" spans="1:13" ht="14.4">
      <c r="A29" s="723"/>
      <c r="B29" s="723"/>
      <c r="C29" s="723"/>
      <c r="D29" s="723"/>
      <c r="E29" s="723"/>
      <c r="F29" s="723"/>
      <c r="G29" s="723"/>
      <c r="H29" s="723"/>
      <c r="I29" s="723"/>
      <c r="J29" s="723"/>
      <c r="K29" s="723"/>
      <c r="L29" s="723"/>
      <c r="M29" s="723"/>
    </row>
  </sheetData>
  <mergeCells count="2">
    <mergeCell ref="A2:R2"/>
    <mergeCell ref="H6:I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499984740745262"/>
  </sheetPr>
  <dimension ref="A1:M161"/>
  <sheetViews>
    <sheetView topLeftCell="A175" zoomScale="90" zoomScaleNormal="90" workbookViewId="0">
      <selection activeCell="C83" sqref="C83:D83"/>
    </sheetView>
  </sheetViews>
  <sheetFormatPr baseColWidth="10" defaultColWidth="8.77734375" defaultRowHeight="14.4"/>
  <cols>
    <col min="1" max="1" width="8.77734375" style="457"/>
    <col min="2" max="2" width="54.5546875" style="457" bestFit="1" customWidth="1"/>
    <col min="3" max="3" width="20.6640625" style="1015" customWidth="1"/>
    <col min="4" max="6" width="20.6640625" style="457" customWidth="1"/>
    <col min="7" max="7" width="13.5546875" style="457" customWidth="1"/>
    <col min="8" max="8" width="16" style="458" bestFit="1" customWidth="1"/>
    <col min="9" max="9" width="12.77734375" style="457" customWidth="1"/>
    <col min="10" max="10" width="7" style="457" customWidth="1"/>
    <col min="11" max="21" width="8.77734375" style="459"/>
    <col min="22" max="23" width="9.44140625" style="459" bestFit="1" customWidth="1"/>
    <col min="24" max="29" width="10.21875" style="459" bestFit="1" customWidth="1"/>
    <col min="30" max="32" width="11.21875" style="459" bestFit="1" customWidth="1"/>
    <col min="33" max="16384" width="8.77734375" style="459"/>
  </cols>
  <sheetData>
    <row r="1" spans="1:11" s="315" customFormat="1" ht="24" customHeight="1">
      <c r="A1" s="314" t="s">
        <v>1453</v>
      </c>
      <c r="C1" s="1013"/>
      <c r="H1" s="455"/>
      <c r="J1" s="316"/>
    </row>
    <row r="2" spans="1:11" s="51" customFormat="1" ht="18">
      <c r="A2" s="50">
        <f>selected_country</f>
        <v>0</v>
      </c>
      <c r="C2" s="1014"/>
      <c r="H2" s="456"/>
      <c r="J2" s="52"/>
    </row>
    <row r="3" spans="1:11" ht="15" thickBot="1"/>
    <row r="4" spans="1:11" ht="18.600000000000001" thickBot="1">
      <c r="B4" s="519" t="str">
        <f>"1) "&amp;Package_Services!$B$8</f>
        <v xml:space="preserve">1) </v>
      </c>
      <c r="C4" s="1016"/>
      <c r="D4" s="461" t="s">
        <v>1150</v>
      </c>
      <c r="E4" s="1006">
        <f>Package_Services!E8</f>
        <v>0</v>
      </c>
      <c r="F4" s="462"/>
      <c r="G4" s="463"/>
      <c r="H4" s="459"/>
      <c r="I4" s="459"/>
      <c r="J4" s="459"/>
    </row>
    <row r="5" spans="1:11" ht="15" thickBot="1">
      <c r="K5" s="457"/>
    </row>
    <row r="6" spans="1:11" ht="15" thickBot="1">
      <c r="B6" s="460" t="s">
        <v>1151</v>
      </c>
      <c r="C6" s="1012"/>
      <c r="D6" s="464"/>
      <c r="F6" s="439"/>
      <c r="G6" s="439"/>
      <c r="H6" s="439"/>
      <c r="I6" s="440"/>
    </row>
    <row r="7" spans="1:11" ht="10.5" customHeight="1"/>
    <row r="8" spans="1:11" s="470" customFormat="1" ht="36" customHeight="1">
      <c r="A8" s="465"/>
      <c r="B8" s="483" t="s">
        <v>1487</v>
      </c>
      <c r="C8" s="482" t="s">
        <v>1474</v>
      </c>
      <c r="D8" s="482" t="str">
        <f>"Unit cost ("&amp;currency_enter&amp;")"</f>
        <v>Unit cost ()</v>
      </c>
      <c r="E8" s="471" t="str">
        <f>"Total cost ("&amp;currency_enter&amp;")"</f>
        <v>Total cost ()</v>
      </c>
      <c r="F8" s="469"/>
    </row>
    <row r="9" spans="1:11">
      <c r="B9" s="442"/>
      <c r="C9" s="443"/>
      <c r="D9" s="586">
        <f t="shared" ref="D9:D16" si="0">IF(B9="",0,VLOOKUP(B9,lookup_assistive_device,4,FALSE))</f>
        <v>0</v>
      </c>
      <c r="E9" s="480">
        <f>C9*D9</f>
        <v>0</v>
      </c>
      <c r="F9" s="472"/>
      <c r="G9" s="459"/>
      <c r="H9" s="459"/>
      <c r="I9" s="459"/>
      <c r="J9" s="459"/>
    </row>
    <row r="10" spans="1:11">
      <c r="B10" s="444"/>
      <c r="C10" s="441"/>
      <c r="D10" s="587">
        <f t="shared" si="0"/>
        <v>0</v>
      </c>
      <c r="E10" s="481">
        <f>C10*D10</f>
        <v>0</v>
      </c>
      <c r="F10" s="472"/>
      <c r="G10" s="459"/>
      <c r="H10" s="459"/>
      <c r="I10" s="459"/>
      <c r="J10" s="459"/>
    </row>
    <row r="11" spans="1:11">
      <c r="B11" s="444"/>
      <c r="C11" s="441"/>
      <c r="D11" s="587">
        <f t="shared" si="0"/>
        <v>0</v>
      </c>
      <c r="E11" s="481">
        <f t="shared" ref="E11:E16" si="1">C11*D11</f>
        <v>0</v>
      </c>
      <c r="F11" s="472"/>
      <c r="G11" s="459"/>
      <c r="H11" s="459"/>
      <c r="I11" s="459"/>
      <c r="J11" s="459"/>
    </row>
    <row r="12" spans="1:11">
      <c r="B12" s="444"/>
      <c r="C12" s="441"/>
      <c r="D12" s="587">
        <f t="shared" si="0"/>
        <v>0</v>
      </c>
      <c r="E12" s="481">
        <f t="shared" si="1"/>
        <v>0</v>
      </c>
      <c r="F12" s="472"/>
      <c r="G12" s="459"/>
      <c r="H12" s="459"/>
      <c r="I12" s="459"/>
      <c r="J12" s="459"/>
    </row>
    <row r="13" spans="1:11">
      <c r="B13" s="444"/>
      <c r="C13" s="441"/>
      <c r="D13" s="587">
        <f t="shared" si="0"/>
        <v>0</v>
      </c>
      <c r="E13" s="481">
        <f t="shared" si="1"/>
        <v>0</v>
      </c>
      <c r="F13" s="472"/>
      <c r="G13" s="459"/>
      <c r="H13" s="459"/>
      <c r="I13" s="1009"/>
      <c r="J13" s="459"/>
    </row>
    <row r="14" spans="1:11">
      <c r="B14" s="444"/>
      <c r="C14" s="441"/>
      <c r="D14" s="587">
        <f t="shared" si="0"/>
        <v>0</v>
      </c>
      <c r="E14" s="481">
        <f t="shared" si="1"/>
        <v>0</v>
      </c>
      <c r="F14" s="472"/>
      <c r="G14" s="459"/>
      <c r="H14" s="459"/>
      <c r="I14" s="459"/>
      <c r="J14" s="459"/>
    </row>
    <row r="15" spans="1:11">
      <c r="B15" s="444"/>
      <c r="C15" s="441"/>
      <c r="D15" s="587">
        <f t="shared" si="0"/>
        <v>0</v>
      </c>
      <c r="E15" s="481">
        <f t="shared" si="1"/>
        <v>0</v>
      </c>
      <c r="F15" s="472"/>
      <c r="G15" s="459"/>
      <c r="H15" s="459"/>
      <c r="I15" s="459"/>
      <c r="J15" s="459"/>
    </row>
    <row r="16" spans="1:11" ht="15" thickBot="1">
      <c r="B16" s="444"/>
      <c r="C16" s="441"/>
      <c r="D16" s="587">
        <f t="shared" si="0"/>
        <v>0</v>
      </c>
      <c r="E16" s="481">
        <f t="shared" si="1"/>
        <v>0</v>
      </c>
      <c r="F16" s="472"/>
      <c r="G16" s="459"/>
      <c r="H16" s="459"/>
      <c r="I16" s="459"/>
      <c r="J16" s="459"/>
    </row>
    <row r="17" spans="2:13" ht="15" thickBot="1">
      <c r="B17" s="484"/>
      <c r="C17" s="1016"/>
      <c r="D17" s="588" t="str">
        <f>"Average episode cost ("&amp;currency_enter&amp;"):"</f>
        <v>Average episode cost ():</v>
      </c>
      <c r="E17" s="485">
        <f>SUM(E9:E16)</f>
        <v>0</v>
      </c>
      <c r="G17" s="458"/>
      <c r="H17" s="457"/>
      <c r="J17" s="459"/>
    </row>
    <row r="18" spans="2:13" ht="15" thickBot="1">
      <c r="B18" s="474"/>
      <c r="E18" s="589"/>
    </row>
    <row r="19" spans="2:13" ht="18.600000000000001" thickBot="1">
      <c r="B19" s="519" t="str">
        <f>"2) "&amp;Package_Services!$B$9</f>
        <v xml:space="preserve">2) </v>
      </c>
      <c r="C19" s="1008"/>
      <c r="D19" s="1007" t="s">
        <v>1150</v>
      </c>
      <c r="E19" s="1010">
        <f>Package_Services!E9</f>
        <v>0</v>
      </c>
      <c r="F19" s="476"/>
      <c r="G19" s="459"/>
      <c r="H19" s="459"/>
      <c r="I19" s="459"/>
      <c r="J19" s="459"/>
    </row>
    <row r="20" spans="2:13" ht="15" thickBot="1">
      <c r="B20" s="477"/>
    </row>
    <row r="21" spans="2:13" ht="15" thickBot="1">
      <c r="B21" s="460" t="s">
        <v>1151</v>
      </c>
      <c r="C21" s="1012"/>
      <c r="D21" s="464"/>
      <c r="F21" s="439"/>
      <c r="G21" s="439"/>
      <c r="H21" s="445"/>
      <c r="I21" s="439"/>
      <c r="J21" s="439"/>
      <c r="K21" s="439"/>
      <c r="L21" s="439"/>
      <c r="M21" s="439"/>
    </row>
    <row r="22" spans="2:13">
      <c r="E22" s="589"/>
      <c r="J22" s="459"/>
    </row>
    <row r="23" spans="2:13" ht="27.45" customHeight="1">
      <c r="B23" s="483" t="s">
        <v>1487</v>
      </c>
      <c r="C23" s="482" t="s">
        <v>1360</v>
      </c>
      <c r="D23" s="590" t="s">
        <v>1488</v>
      </c>
      <c r="E23" s="486" t="str">
        <f>"Total cost ("&amp;currency_enter&amp;")"</f>
        <v>Total cost ()</v>
      </c>
      <c r="F23" s="469"/>
      <c r="G23" s="459"/>
      <c r="H23" s="459"/>
      <c r="I23" s="459"/>
      <c r="J23" s="459"/>
    </row>
    <row r="24" spans="2:13">
      <c r="B24" s="442" t="s">
        <v>1473</v>
      </c>
      <c r="C24" s="443">
        <v>1</v>
      </c>
      <c r="D24" s="584" t="e">
        <f t="shared" ref="D24:D31" si="2">IF(B24="",0,VLOOKUP(B24,lookup_assistive_device,4,FALSE))</f>
        <v>#N/A</v>
      </c>
      <c r="E24" s="471" t="e">
        <f>C24*D24</f>
        <v>#N/A</v>
      </c>
      <c r="F24" s="469"/>
      <c r="G24" s="459"/>
      <c r="H24" s="459"/>
      <c r="I24" s="459"/>
      <c r="J24" s="459"/>
    </row>
    <row r="25" spans="2:13">
      <c r="B25" s="444"/>
      <c r="C25" s="441"/>
      <c r="D25" s="585">
        <f t="shared" si="2"/>
        <v>0</v>
      </c>
      <c r="E25" s="473">
        <f>C25*D25</f>
        <v>0</v>
      </c>
      <c r="F25" s="469"/>
      <c r="G25" s="459"/>
      <c r="H25" s="459"/>
      <c r="I25" s="459"/>
      <c r="J25" s="459"/>
    </row>
    <row r="26" spans="2:13">
      <c r="B26" s="444"/>
      <c r="C26" s="441"/>
      <c r="D26" s="585">
        <f t="shared" si="2"/>
        <v>0</v>
      </c>
      <c r="E26" s="473">
        <f t="shared" ref="E26:E31" si="3">C26*D26</f>
        <v>0</v>
      </c>
      <c r="F26" s="469"/>
      <c r="G26" s="459"/>
      <c r="H26" s="459"/>
      <c r="I26" s="459"/>
      <c r="J26" s="459"/>
    </row>
    <row r="27" spans="2:13">
      <c r="B27" s="444"/>
      <c r="C27" s="441"/>
      <c r="D27" s="585">
        <f t="shared" si="2"/>
        <v>0</v>
      </c>
      <c r="E27" s="473">
        <f t="shared" si="3"/>
        <v>0</v>
      </c>
      <c r="F27" s="469"/>
      <c r="G27" s="459"/>
      <c r="H27" s="459"/>
      <c r="I27" s="459"/>
      <c r="J27" s="459"/>
    </row>
    <row r="28" spans="2:13">
      <c r="B28" s="444"/>
      <c r="C28" s="441"/>
      <c r="D28" s="585">
        <f t="shared" si="2"/>
        <v>0</v>
      </c>
      <c r="E28" s="473">
        <f t="shared" si="3"/>
        <v>0</v>
      </c>
      <c r="F28" s="469"/>
      <c r="G28" s="459"/>
      <c r="H28" s="459"/>
      <c r="I28" s="459"/>
      <c r="J28" s="459"/>
    </row>
    <row r="29" spans="2:13">
      <c r="B29" s="444"/>
      <c r="C29" s="441"/>
      <c r="D29" s="585">
        <f t="shared" si="2"/>
        <v>0</v>
      </c>
      <c r="E29" s="473">
        <f t="shared" si="3"/>
        <v>0</v>
      </c>
      <c r="F29" s="469"/>
      <c r="G29" s="459"/>
      <c r="H29" s="459"/>
      <c r="I29" s="459"/>
      <c r="J29" s="459"/>
    </row>
    <row r="30" spans="2:13">
      <c r="B30" s="444"/>
      <c r="C30" s="441"/>
      <c r="D30" s="585">
        <f t="shared" si="2"/>
        <v>0</v>
      </c>
      <c r="E30" s="473">
        <f t="shared" si="3"/>
        <v>0</v>
      </c>
      <c r="F30" s="469"/>
      <c r="G30" s="459"/>
      <c r="H30" s="459"/>
      <c r="I30" s="459"/>
      <c r="J30" s="459"/>
    </row>
    <row r="31" spans="2:13" ht="15" thickBot="1">
      <c r="B31" s="444"/>
      <c r="C31" s="441"/>
      <c r="D31" s="585">
        <f t="shared" si="2"/>
        <v>0</v>
      </c>
      <c r="E31" s="473">
        <f t="shared" si="3"/>
        <v>0</v>
      </c>
      <c r="F31" s="469"/>
      <c r="G31" s="459"/>
      <c r="H31" s="459"/>
      <c r="I31" s="459"/>
      <c r="J31" s="459"/>
    </row>
    <row r="32" spans="2:13" ht="15" thickBot="1">
      <c r="B32" s="484"/>
      <c r="C32" s="1016"/>
      <c r="D32" s="588" t="str">
        <f>"Average episode cost ("&amp;currency_enter&amp;"):"</f>
        <v>Average episode cost ():</v>
      </c>
      <c r="E32" s="485" t="e">
        <f>SUM(E24:E31)</f>
        <v>#N/A</v>
      </c>
      <c r="G32" s="458"/>
      <c r="H32" s="457"/>
      <c r="J32" s="459"/>
    </row>
    <row r="33" spans="2:13" ht="15" thickBot="1">
      <c r="B33" s="474"/>
      <c r="E33" s="589"/>
    </row>
    <row r="34" spans="2:13" ht="18.600000000000001" thickBot="1">
      <c r="B34" s="519" t="str">
        <f>"3) "&amp;Package_Services!$B$10</f>
        <v xml:space="preserve">3) </v>
      </c>
      <c r="C34" s="1008"/>
      <c r="D34" s="475" t="s">
        <v>1150</v>
      </c>
      <c r="E34" s="1011">
        <f>Package_Services!F10</f>
        <v>0</v>
      </c>
      <c r="F34" s="476"/>
      <c r="G34" s="459"/>
      <c r="H34" s="459"/>
      <c r="I34" s="459"/>
      <c r="J34" s="459"/>
    </row>
    <row r="35" spans="2:13" ht="15" thickBot="1">
      <c r="B35" s="477"/>
      <c r="F35" s="458"/>
      <c r="H35" s="457"/>
      <c r="I35" s="459"/>
      <c r="J35" s="459"/>
    </row>
    <row r="36" spans="2:13" ht="15" thickBot="1">
      <c r="B36" s="460" t="s">
        <v>1151</v>
      </c>
      <c r="C36" s="1012"/>
      <c r="D36" s="464"/>
      <c r="F36" s="439"/>
      <c r="G36" s="439"/>
      <c r="H36" s="445"/>
      <c r="I36" s="439"/>
      <c r="J36" s="439"/>
      <c r="K36" s="439"/>
      <c r="L36" s="439"/>
      <c r="M36" s="439"/>
    </row>
    <row r="37" spans="2:13">
      <c r="E37" s="589"/>
      <c r="J37" s="459"/>
    </row>
    <row r="38" spans="2:13">
      <c r="B38" s="483" t="s">
        <v>1350</v>
      </c>
      <c r="C38" s="482" t="s">
        <v>1360</v>
      </c>
      <c r="D38" s="590" t="s">
        <v>1488</v>
      </c>
      <c r="E38" s="486" t="str">
        <f>"Total cost ("&amp;currency_enter&amp;")"</f>
        <v>Total cost ()</v>
      </c>
      <c r="G38" s="459"/>
      <c r="H38" s="459"/>
      <c r="I38" s="459"/>
      <c r="J38" s="459"/>
    </row>
    <row r="39" spans="2:13">
      <c r="B39" s="442"/>
      <c r="C39" s="443"/>
      <c r="D39" s="584">
        <f t="shared" ref="D39:D46" si="4">IF(B39="",0,VLOOKUP(B39,lookup_assistive_device,4,FALSE))</f>
        <v>0</v>
      </c>
      <c r="E39" s="471">
        <f>C39*D39</f>
        <v>0</v>
      </c>
      <c r="F39" s="469"/>
      <c r="G39" s="459"/>
      <c r="H39" s="459"/>
      <c r="I39" s="459"/>
      <c r="J39" s="459"/>
    </row>
    <row r="40" spans="2:13">
      <c r="B40" s="444"/>
      <c r="C40" s="441"/>
      <c r="D40" s="585">
        <f t="shared" si="4"/>
        <v>0</v>
      </c>
      <c r="E40" s="473">
        <f>C40*D40</f>
        <v>0</v>
      </c>
      <c r="F40" s="472"/>
      <c r="G40" s="459"/>
      <c r="H40" s="459"/>
      <c r="I40" s="459"/>
      <c r="J40" s="459"/>
    </row>
    <row r="41" spans="2:13">
      <c r="B41" s="444"/>
      <c r="C41" s="441"/>
      <c r="D41" s="585">
        <f t="shared" si="4"/>
        <v>0</v>
      </c>
      <c r="E41" s="473">
        <f t="shared" ref="E41:E46" si="5">C41*D41</f>
        <v>0</v>
      </c>
      <c r="F41" s="472"/>
      <c r="G41" s="459"/>
      <c r="H41" s="459"/>
      <c r="I41" s="459"/>
      <c r="J41" s="459"/>
    </row>
    <row r="42" spans="2:13">
      <c r="B42" s="444"/>
      <c r="C42" s="441"/>
      <c r="D42" s="585">
        <f t="shared" si="4"/>
        <v>0</v>
      </c>
      <c r="E42" s="473">
        <f t="shared" si="5"/>
        <v>0</v>
      </c>
      <c r="F42" s="472"/>
      <c r="G42" s="459"/>
      <c r="H42" s="459"/>
      <c r="I42" s="459"/>
      <c r="J42" s="459"/>
    </row>
    <row r="43" spans="2:13">
      <c r="B43" s="444"/>
      <c r="C43" s="441"/>
      <c r="D43" s="585">
        <f t="shared" si="4"/>
        <v>0</v>
      </c>
      <c r="E43" s="473">
        <f t="shared" si="5"/>
        <v>0</v>
      </c>
      <c r="F43" s="472"/>
      <c r="G43" s="459"/>
      <c r="H43" s="459"/>
      <c r="I43" s="459"/>
      <c r="J43" s="459"/>
    </row>
    <row r="44" spans="2:13">
      <c r="B44" s="444"/>
      <c r="C44" s="441"/>
      <c r="D44" s="585">
        <f t="shared" si="4"/>
        <v>0</v>
      </c>
      <c r="E44" s="473">
        <f t="shared" si="5"/>
        <v>0</v>
      </c>
      <c r="F44" s="472"/>
      <c r="G44" s="459"/>
      <c r="H44" s="459"/>
      <c r="I44" s="459"/>
      <c r="J44" s="459"/>
    </row>
    <row r="45" spans="2:13">
      <c r="B45" s="444"/>
      <c r="C45" s="441"/>
      <c r="D45" s="585">
        <f t="shared" si="4"/>
        <v>0</v>
      </c>
      <c r="E45" s="473">
        <f t="shared" si="5"/>
        <v>0</v>
      </c>
      <c r="F45" s="472"/>
      <c r="G45" s="459"/>
      <c r="H45" s="459"/>
      <c r="I45" s="459"/>
      <c r="J45" s="459"/>
    </row>
    <row r="46" spans="2:13" ht="15" thickBot="1">
      <c r="B46" s="444"/>
      <c r="C46" s="441"/>
      <c r="D46" s="585">
        <f t="shared" si="4"/>
        <v>0</v>
      </c>
      <c r="E46" s="473">
        <f t="shared" si="5"/>
        <v>0</v>
      </c>
      <c r="F46" s="472"/>
      <c r="G46" s="459"/>
      <c r="H46" s="459"/>
      <c r="I46" s="459"/>
      <c r="J46" s="459"/>
    </row>
    <row r="47" spans="2:13" ht="15" thickBot="1">
      <c r="B47" s="484"/>
      <c r="C47" s="1016"/>
      <c r="D47" s="588" t="str">
        <f>"Average episode cost ("&amp;currency_enter&amp;"):"</f>
        <v>Average episode cost ():</v>
      </c>
      <c r="E47" s="485">
        <f>SUM(E39:E46)</f>
        <v>0</v>
      </c>
      <c r="F47" s="472"/>
      <c r="G47" s="472"/>
      <c r="H47" s="459"/>
      <c r="I47" s="459"/>
      <c r="J47" s="459"/>
    </row>
    <row r="48" spans="2:13" ht="15" thickBot="1">
      <c r="B48" s="474"/>
      <c r="E48" s="589"/>
      <c r="F48" s="458"/>
      <c r="H48" s="457"/>
      <c r="I48" s="459"/>
      <c r="J48" s="459"/>
    </row>
    <row r="49" spans="2:13" ht="18.600000000000001" thickBot="1">
      <c r="B49" s="519" t="str">
        <f>"4) "&amp;Package_Services!$B$11</f>
        <v xml:space="preserve">4) </v>
      </c>
      <c r="C49" s="1008"/>
      <c r="D49" s="475" t="s">
        <v>1150</v>
      </c>
      <c r="E49" s="1011">
        <f>Package_Services!F11</f>
        <v>0</v>
      </c>
      <c r="F49" s="476"/>
      <c r="G49" s="459"/>
      <c r="H49" s="459"/>
      <c r="I49" s="459"/>
      <c r="J49" s="459"/>
    </row>
    <row r="50" spans="2:13" ht="15" thickBot="1">
      <c r="B50" s="477"/>
      <c r="E50" s="589"/>
      <c r="F50" s="458"/>
      <c r="H50" s="459"/>
      <c r="I50" s="459"/>
      <c r="J50" s="459"/>
    </row>
    <row r="51" spans="2:13" ht="15" thickBot="1">
      <c r="B51" s="460" t="s">
        <v>1151</v>
      </c>
      <c r="C51" s="1012"/>
      <c r="D51" s="464"/>
      <c r="F51" s="439"/>
      <c r="G51" s="439"/>
      <c r="H51" s="445"/>
      <c r="I51" s="439"/>
      <c r="J51" s="439"/>
      <c r="K51" s="439"/>
      <c r="L51" s="439"/>
      <c r="M51" s="439"/>
    </row>
    <row r="52" spans="2:13">
      <c r="E52" s="589"/>
      <c r="J52" s="459"/>
    </row>
    <row r="53" spans="2:13">
      <c r="B53" s="483" t="s">
        <v>1350</v>
      </c>
      <c r="C53" s="482" t="s">
        <v>1360</v>
      </c>
      <c r="D53" s="590" t="s">
        <v>1488</v>
      </c>
      <c r="E53" s="486" t="str">
        <f>"Total cost ("&amp;currency_enter&amp;")"</f>
        <v>Total cost ()</v>
      </c>
      <c r="G53" s="459"/>
      <c r="H53" s="459"/>
      <c r="I53" s="459"/>
      <c r="J53" s="459"/>
    </row>
    <row r="54" spans="2:13">
      <c r="B54" s="442"/>
      <c r="C54" s="443"/>
      <c r="D54" s="584">
        <f t="shared" ref="D54:D61" si="6">IF(B54="",0,VLOOKUP(B54,lookup_assistive_device,4,FALSE))</f>
        <v>0</v>
      </c>
      <c r="E54" s="471">
        <f>C54*D54</f>
        <v>0</v>
      </c>
      <c r="F54" s="469"/>
      <c r="G54" s="459"/>
      <c r="H54" s="459"/>
      <c r="I54" s="459"/>
      <c r="J54" s="459"/>
    </row>
    <row r="55" spans="2:13">
      <c r="B55" s="444"/>
      <c r="C55" s="441"/>
      <c r="D55" s="585">
        <f t="shared" si="6"/>
        <v>0</v>
      </c>
      <c r="E55" s="473">
        <f>C55*D55</f>
        <v>0</v>
      </c>
      <c r="F55" s="472"/>
      <c r="G55" s="459"/>
      <c r="H55" s="459"/>
      <c r="I55" s="459"/>
      <c r="J55" s="459"/>
    </row>
    <row r="56" spans="2:13">
      <c r="B56" s="444"/>
      <c r="C56" s="441"/>
      <c r="D56" s="585">
        <f t="shared" si="6"/>
        <v>0</v>
      </c>
      <c r="E56" s="473">
        <f t="shared" ref="E56:E61" si="7">C56*D56</f>
        <v>0</v>
      </c>
      <c r="F56" s="472"/>
      <c r="G56" s="459"/>
      <c r="H56" s="459"/>
      <c r="I56" s="459"/>
      <c r="J56" s="459"/>
    </row>
    <row r="57" spans="2:13">
      <c r="B57" s="444"/>
      <c r="C57" s="441"/>
      <c r="D57" s="585">
        <f t="shared" si="6"/>
        <v>0</v>
      </c>
      <c r="E57" s="473">
        <f t="shared" si="7"/>
        <v>0</v>
      </c>
      <c r="F57" s="472"/>
      <c r="G57" s="459"/>
      <c r="H57" s="459"/>
      <c r="I57" s="459"/>
      <c r="J57" s="459"/>
    </row>
    <row r="58" spans="2:13">
      <c r="B58" s="444"/>
      <c r="C58" s="441"/>
      <c r="D58" s="585">
        <f t="shared" si="6"/>
        <v>0</v>
      </c>
      <c r="E58" s="473">
        <f t="shared" si="7"/>
        <v>0</v>
      </c>
      <c r="F58" s="472"/>
      <c r="G58" s="459"/>
      <c r="H58" s="459"/>
      <c r="I58" s="459"/>
      <c r="J58" s="459"/>
    </row>
    <row r="59" spans="2:13">
      <c r="B59" s="444"/>
      <c r="C59" s="441"/>
      <c r="D59" s="585">
        <f t="shared" si="6"/>
        <v>0</v>
      </c>
      <c r="E59" s="473">
        <f t="shared" si="7"/>
        <v>0</v>
      </c>
      <c r="F59" s="472"/>
      <c r="G59" s="459"/>
      <c r="H59" s="459"/>
      <c r="I59" s="459"/>
      <c r="J59" s="459"/>
    </row>
    <row r="60" spans="2:13">
      <c r="B60" s="444"/>
      <c r="C60" s="441"/>
      <c r="D60" s="585">
        <f t="shared" si="6"/>
        <v>0</v>
      </c>
      <c r="E60" s="473">
        <f t="shared" si="7"/>
        <v>0</v>
      </c>
      <c r="F60" s="472"/>
      <c r="G60" s="459"/>
      <c r="H60" s="459"/>
      <c r="I60" s="459"/>
      <c r="J60" s="459"/>
    </row>
    <row r="61" spans="2:13" ht="15" thickBot="1">
      <c r="B61" s="444"/>
      <c r="C61" s="441"/>
      <c r="D61" s="585">
        <f t="shared" si="6"/>
        <v>0</v>
      </c>
      <c r="E61" s="473">
        <f t="shared" si="7"/>
        <v>0</v>
      </c>
      <c r="F61" s="472"/>
      <c r="G61" s="459"/>
      <c r="H61" s="459"/>
      <c r="I61" s="459"/>
      <c r="J61" s="459"/>
    </row>
    <row r="62" spans="2:13" ht="15" thickBot="1">
      <c r="B62" s="484"/>
      <c r="C62" s="1016"/>
      <c r="D62" s="588" t="str">
        <f>"Average episode cost ("&amp;currency_enter&amp;"):"</f>
        <v>Average episode cost ():</v>
      </c>
      <c r="E62" s="485">
        <f>SUM(E54:E61)</f>
        <v>0</v>
      </c>
      <c r="H62" s="459"/>
      <c r="I62" s="459"/>
      <c r="J62" s="459"/>
    </row>
    <row r="63" spans="2:13">
      <c r="F63" s="458"/>
      <c r="H63" s="457"/>
      <c r="I63" s="459"/>
      <c r="J63" s="459"/>
    </row>
    <row r="64" spans="2:13" ht="15" thickBot="1">
      <c r="E64" s="589"/>
      <c r="F64" s="458"/>
      <c r="H64" s="457"/>
      <c r="I64" s="459"/>
      <c r="J64" s="459"/>
    </row>
    <row r="65" spans="2:13" ht="18.600000000000001" thickBot="1">
      <c r="B65" s="519" t="str">
        <f>"5) "&amp;Package_Services!$B$12</f>
        <v xml:space="preserve">5) </v>
      </c>
      <c r="C65" s="1008"/>
      <c r="D65" s="475" t="s">
        <v>1150</v>
      </c>
      <c r="E65" s="1011">
        <f>Package_Services!F12</f>
        <v>0</v>
      </c>
      <c r="F65" s="476"/>
      <c r="G65" s="459"/>
      <c r="H65" s="459"/>
      <c r="I65" s="459"/>
      <c r="J65" s="459"/>
    </row>
    <row r="66" spans="2:13" ht="15" thickBot="1">
      <c r="F66" s="458"/>
      <c r="H66" s="457"/>
      <c r="I66" s="459"/>
      <c r="J66" s="459"/>
    </row>
    <row r="67" spans="2:13" ht="15" thickBot="1">
      <c r="B67" s="460" t="s">
        <v>1151</v>
      </c>
      <c r="C67" s="1012"/>
      <c r="D67" s="464"/>
      <c r="F67" s="439"/>
      <c r="G67" s="439"/>
      <c r="H67" s="445"/>
      <c r="I67" s="439"/>
      <c r="J67" s="439"/>
      <c r="K67" s="439"/>
      <c r="L67" s="439"/>
      <c r="M67" s="439"/>
    </row>
    <row r="68" spans="2:13">
      <c r="E68" s="589"/>
      <c r="J68" s="459"/>
    </row>
    <row r="69" spans="2:13">
      <c r="B69" s="483" t="s">
        <v>1350</v>
      </c>
      <c r="C69" s="482" t="s">
        <v>1360</v>
      </c>
      <c r="D69" s="590" t="s">
        <v>1488</v>
      </c>
      <c r="E69" s="486" t="str">
        <f>"Total cost ("&amp;currency_enter&amp;")"</f>
        <v>Total cost ()</v>
      </c>
      <c r="G69" s="459"/>
      <c r="H69" s="459"/>
      <c r="I69" s="459"/>
      <c r="J69" s="459"/>
    </row>
    <row r="70" spans="2:13">
      <c r="B70" s="442"/>
      <c r="C70" s="443"/>
      <c r="D70" s="584">
        <f t="shared" ref="D70:D77" si="8">IF(B70="",0,VLOOKUP(B70,lookup_assistive_device,4,FALSE))</f>
        <v>0</v>
      </c>
      <c r="E70" s="471">
        <f>C70*D70</f>
        <v>0</v>
      </c>
      <c r="F70" s="469"/>
      <c r="G70" s="459"/>
      <c r="H70" s="459"/>
      <c r="I70" s="459"/>
      <c r="J70" s="459"/>
    </row>
    <row r="71" spans="2:13">
      <c r="B71" s="444"/>
      <c r="C71" s="441"/>
      <c r="D71" s="585">
        <f t="shared" si="8"/>
        <v>0</v>
      </c>
      <c r="E71" s="473">
        <f>C71*D71</f>
        <v>0</v>
      </c>
      <c r="F71" s="472"/>
      <c r="G71" s="459"/>
      <c r="H71" s="459"/>
      <c r="I71" s="459"/>
      <c r="J71" s="459"/>
    </row>
    <row r="72" spans="2:13">
      <c r="B72" s="444"/>
      <c r="C72" s="441"/>
      <c r="D72" s="585">
        <f t="shared" si="8"/>
        <v>0</v>
      </c>
      <c r="E72" s="473">
        <f t="shared" ref="E72:E77" si="9">C72*D72</f>
        <v>0</v>
      </c>
      <c r="F72" s="472"/>
      <c r="G72" s="459"/>
      <c r="H72" s="459"/>
      <c r="I72" s="459"/>
      <c r="J72" s="459"/>
    </row>
    <row r="73" spans="2:13">
      <c r="B73" s="444"/>
      <c r="C73" s="441"/>
      <c r="D73" s="585">
        <f t="shared" si="8"/>
        <v>0</v>
      </c>
      <c r="E73" s="473">
        <f t="shared" si="9"/>
        <v>0</v>
      </c>
      <c r="F73" s="472"/>
      <c r="G73" s="459"/>
      <c r="H73" s="459"/>
      <c r="I73" s="459"/>
      <c r="J73" s="459"/>
    </row>
    <row r="74" spans="2:13">
      <c r="B74" s="444"/>
      <c r="C74" s="441"/>
      <c r="D74" s="585">
        <f t="shared" si="8"/>
        <v>0</v>
      </c>
      <c r="E74" s="473">
        <f t="shared" si="9"/>
        <v>0</v>
      </c>
      <c r="F74" s="472"/>
      <c r="G74" s="459"/>
      <c r="H74" s="459"/>
      <c r="I74" s="459"/>
      <c r="J74" s="459"/>
    </row>
    <row r="75" spans="2:13">
      <c r="B75" s="444"/>
      <c r="C75" s="441"/>
      <c r="D75" s="585">
        <f t="shared" si="8"/>
        <v>0</v>
      </c>
      <c r="E75" s="473">
        <f t="shared" si="9"/>
        <v>0</v>
      </c>
      <c r="F75" s="472"/>
      <c r="G75" s="459"/>
      <c r="H75" s="459"/>
      <c r="I75" s="459"/>
      <c r="J75" s="459"/>
    </row>
    <row r="76" spans="2:13">
      <c r="B76" s="444"/>
      <c r="C76" s="441"/>
      <c r="D76" s="585">
        <f t="shared" si="8"/>
        <v>0</v>
      </c>
      <c r="E76" s="473">
        <f t="shared" si="9"/>
        <v>0</v>
      </c>
      <c r="F76" s="472"/>
      <c r="G76" s="459"/>
      <c r="H76" s="459"/>
      <c r="I76" s="459"/>
      <c r="J76" s="459"/>
    </row>
    <row r="77" spans="2:13" ht="15" thickBot="1">
      <c r="B77" s="444"/>
      <c r="C77" s="441"/>
      <c r="D77" s="585">
        <f t="shared" si="8"/>
        <v>0</v>
      </c>
      <c r="E77" s="473">
        <f t="shared" si="9"/>
        <v>0</v>
      </c>
      <c r="F77" s="472"/>
      <c r="G77" s="459"/>
      <c r="H77" s="459"/>
      <c r="I77" s="459"/>
      <c r="J77" s="459"/>
    </row>
    <row r="78" spans="2:13" ht="15" thickBot="1">
      <c r="B78" s="484"/>
      <c r="C78" s="1016"/>
      <c r="D78" s="588" t="str">
        <f>"Average episode cost ("&amp;currency_enter&amp;"):"</f>
        <v>Average episode cost ():</v>
      </c>
      <c r="E78" s="485">
        <f>SUM(E70:E77)</f>
        <v>0</v>
      </c>
      <c r="H78" s="459"/>
      <c r="I78" s="459"/>
      <c r="J78" s="459"/>
    </row>
    <row r="79" spans="2:13">
      <c r="F79" s="458"/>
      <c r="H79" s="457"/>
      <c r="I79" s="459"/>
      <c r="J79" s="459"/>
    </row>
    <row r="80" spans="2:13" ht="15" thickBot="1">
      <c r="E80" s="589"/>
      <c r="F80" s="458"/>
      <c r="H80" s="457"/>
      <c r="I80" s="459"/>
      <c r="J80" s="459"/>
    </row>
    <row r="81" spans="2:13" ht="18.600000000000001" thickBot="1">
      <c r="B81" s="519" t="str">
        <f>"6) "&amp;Package_Services!$B$13</f>
        <v xml:space="preserve">6) </v>
      </c>
      <c r="C81" s="1008"/>
      <c r="D81" s="475" t="s">
        <v>1150</v>
      </c>
      <c r="E81" s="1011">
        <f>Package_Services!F13</f>
        <v>0</v>
      </c>
      <c r="F81" s="476"/>
      <c r="G81" s="459"/>
      <c r="H81" s="459"/>
      <c r="I81" s="459"/>
      <c r="J81" s="459"/>
    </row>
    <row r="82" spans="2:13" ht="15" thickBot="1">
      <c r="F82" s="458"/>
      <c r="H82" s="457"/>
      <c r="I82" s="459"/>
      <c r="J82" s="459"/>
    </row>
    <row r="83" spans="2:13" ht="15" thickBot="1">
      <c r="B83" s="460" t="s">
        <v>1151</v>
      </c>
      <c r="C83" s="1012"/>
      <c r="D83" s="464"/>
      <c r="F83" s="439"/>
      <c r="G83" s="439"/>
      <c r="H83" s="445"/>
      <c r="I83" s="439"/>
      <c r="J83" s="439"/>
      <c r="K83" s="439"/>
      <c r="L83" s="439"/>
      <c r="M83" s="439"/>
    </row>
    <row r="84" spans="2:13">
      <c r="E84" s="589"/>
      <c r="J84" s="459"/>
    </row>
    <row r="85" spans="2:13">
      <c r="B85" s="466"/>
      <c r="C85" s="467" t="s">
        <v>1360</v>
      </c>
      <c r="D85" s="591" t="s">
        <v>1488</v>
      </c>
      <c r="E85" s="468" t="str">
        <f>"Total cost ("&amp;currency_enter&amp;")"</f>
        <v>Total cost ()</v>
      </c>
      <c r="G85" s="459"/>
      <c r="H85" s="459"/>
      <c r="I85" s="459"/>
      <c r="J85" s="459"/>
    </row>
    <row r="86" spans="2:13">
      <c r="B86" s="442"/>
      <c r="C86" s="443"/>
      <c r="D86" s="584">
        <f t="shared" ref="D86:D93" si="10">IF(B86="",0,VLOOKUP(B86,lookup_assistive_device,4,FALSE))</f>
        <v>0</v>
      </c>
      <c r="E86" s="471">
        <f>C86*D86</f>
        <v>0</v>
      </c>
      <c r="F86" s="469"/>
      <c r="G86" s="459"/>
      <c r="H86" s="459"/>
      <c r="I86" s="459"/>
      <c r="J86" s="459"/>
    </row>
    <row r="87" spans="2:13">
      <c r="B87" s="444"/>
      <c r="C87" s="441"/>
      <c r="D87" s="585">
        <f t="shared" si="10"/>
        <v>0</v>
      </c>
      <c r="E87" s="473">
        <f>C87*D87</f>
        <v>0</v>
      </c>
      <c r="F87" s="472"/>
      <c r="G87" s="459"/>
      <c r="H87" s="459"/>
      <c r="I87" s="459"/>
      <c r="J87" s="459"/>
    </row>
    <row r="88" spans="2:13">
      <c r="B88" s="444"/>
      <c r="C88" s="441"/>
      <c r="D88" s="585">
        <f t="shared" si="10"/>
        <v>0</v>
      </c>
      <c r="E88" s="473">
        <f t="shared" ref="E88:E93" si="11">C88*D88</f>
        <v>0</v>
      </c>
      <c r="F88" s="472"/>
      <c r="G88" s="459"/>
      <c r="H88" s="459"/>
      <c r="I88" s="459"/>
      <c r="J88" s="459"/>
    </row>
    <row r="89" spans="2:13">
      <c r="B89" s="444"/>
      <c r="C89" s="441"/>
      <c r="D89" s="585">
        <f t="shared" si="10"/>
        <v>0</v>
      </c>
      <c r="E89" s="473">
        <f t="shared" si="11"/>
        <v>0</v>
      </c>
      <c r="F89" s="472"/>
      <c r="G89" s="459"/>
      <c r="H89" s="459"/>
      <c r="I89" s="459"/>
      <c r="J89" s="459"/>
    </row>
    <row r="90" spans="2:13">
      <c r="B90" s="444"/>
      <c r="C90" s="441"/>
      <c r="D90" s="585">
        <f t="shared" si="10"/>
        <v>0</v>
      </c>
      <c r="E90" s="473">
        <f t="shared" si="11"/>
        <v>0</v>
      </c>
      <c r="F90" s="472"/>
      <c r="G90" s="459"/>
      <c r="H90" s="459"/>
      <c r="I90" s="459"/>
      <c r="J90" s="459"/>
    </row>
    <row r="91" spans="2:13">
      <c r="B91" s="444"/>
      <c r="C91" s="441"/>
      <c r="D91" s="585">
        <f t="shared" si="10"/>
        <v>0</v>
      </c>
      <c r="E91" s="473">
        <f t="shared" si="11"/>
        <v>0</v>
      </c>
      <c r="F91" s="472"/>
      <c r="G91" s="459"/>
      <c r="H91" s="459"/>
      <c r="I91" s="459"/>
      <c r="J91" s="459"/>
    </row>
    <row r="92" spans="2:13">
      <c r="B92" s="444"/>
      <c r="C92" s="441"/>
      <c r="D92" s="585">
        <f t="shared" si="10"/>
        <v>0</v>
      </c>
      <c r="E92" s="473">
        <f t="shared" si="11"/>
        <v>0</v>
      </c>
      <c r="F92" s="472"/>
      <c r="G92" s="459"/>
      <c r="H92" s="459"/>
      <c r="I92" s="459"/>
      <c r="J92" s="459"/>
    </row>
    <row r="93" spans="2:13" ht="15" thickBot="1">
      <c r="B93" s="444"/>
      <c r="C93" s="441"/>
      <c r="D93" s="585">
        <f t="shared" si="10"/>
        <v>0</v>
      </c>
      <c r="E93" s="473">
        <f t="shared" si="11"/>
        <v>0</v>
      </c>
      <c r="F93" s="472"/>
      <c r="G93" s="459"/>
      <c r="H93" s="459"/>
      <c r="I93" s="459"/>
      <c r="J93" s="459"/>
    </row>
    <row r="94" spans="2:13" ht="15" thickBot="1">
      <c r="B94" s="484"/>
      <c r="C94" s="1016"/>
      <c r="D94" s="588" t="str">
        <f>"Average episode cost ("&amp;currency_enter&amp;"):"</f>
        <v>Average episode cost ():</v>
      </c>
      <c r="E94" s="485">
        <f>SUM(E86:E93)</f>
        <v>0</v>
      </c>
      <c r="H94" s="459"/>
      <c r="I94" s="459"/>
      <c r="J94" s="459"/>
    </row>
    <row r="95" spans="2:13">
      <c r="F95" s="458"/>
      <c r="H95" s="457"/>
      <c r="I95" s="459"/>
      <c r="J95" s="459"/>
    </row>
    <row r="96" spans="2:13" ht="15" thickBot="1">
      <c r="F96" s="458"/>
      <c r="H96" s="457"/>
      <c r="I96" s="459"/>
      <c r="J96" s="459"/>
    </row>
    <row r="97" spans="2:13" ht="18.600000000000001" thickBot="1">
      <c r="B97" s="519" t="str">
        <f>"7) "&amp;Package_Services!$B$14</f>
        <v xml:space="preserve">7) </v>
      </c>
      <c r="C97" s="1008"/>
      <c r="D97" s="475" t="s">
        <v>1150</v>
      </c>
      <c r="E97" s="1011">
        <f>Package_Services!F14</f>
        <v>0</v>
      </c>
      <c r="F97" s="476"/>
      <c r="G97" s="459"/>
      <c r="H97" s="459"/>
      <c r="I97" s="459"/>
      <c r="J97" s="459"/>
    </row>
    <row r="98" spans="2:13" ht="15" thickBot="1">
      <c r="F98" s="458"/>
      <c r="H98" s="457"/>
      <c r="I98" s="459"/>
      <c r="J98" s="459"/>
    </row>
    <row r="99" spans="2:13" ht="15" thickBot="1">
      <c r="B99" s="460" t="s">
        <v>1151</v>
      </c>
      <c r="C99" s="1012"/>
      <c r="D99" s="464"/>
      <c r="F99" s="439"/>
      <c r="G99" s="439"/>
      <c r="H99" s="445"/>
      <c r="I99" s="439"/>
      <c r="J99" s="439"/>
      <c r="K99" s="439"/>
      <c r="L99" s="439"/>
      <c r="M99" s="439"/>
    </row>
    <row r="100" spans="2:13">
      <c r="E100" s="589"/>
      <c r="J100" s="459"/>
    </row>
    <row r="101" spans="2:13">
      <c r="B101" s="483" t="s">
        <v>1350</v>
      </c>
      <c r="C101" s="482" t="s">
        <v>1360</v>
      </c>
      <c r="D101" s="590" t="s">
        <v>1488</v>
      </c>
      <c r="E101" s="486" t="str">
        <f>"Total cost ("&amp;currency_enter&amp;")"</f>
        <v>Total cost ()</v>
      </c>
      <c r="G101" s="459"/>
      <c r="H101" s="459"/>
      <c r="I101" s="459"/>
      <c r="J101" s="459"/>
    </row>
    <row r="102" spans="2:13">
      <c r="B102" s="442"/>
      <c r="C102" s="443"/>
      <c r="D102" s="584">
        <f t="shared" ref="D102:D109" si="12">IF(B102="",0,VLOOKUP(B102,lookup_assistive_device,4,FALSE))</f>
        <v>0</v>
      </c>
      <c r="E102" s="471">
        <f>C102*D102</f>
        <v>0</v>
      </c>
      <c r="F102" s="469"/>
      <c r="G102" s="459"/>
      <c r="H102" s="459"/>
      <c r="I102" s="459"/>
      <c r="J102" s="459"/>
    </row>
    <row r="103" spans="2:13">
      <c r="B103" s="444"/>
      <c r="C103" s="441"/>
      <c r="D103" s="585">
        <f t="shared" si="12"/>
        <v>0</v>
      </c>
      <c r="E103" s="473">
        <f>C103*D103</f>
        <v>0</v>
      </c>
      <c r="F103" s="472"/>
      <c r="G103" s="459"/>
      <c r="H103" s="459"/>
      <c r="I103" s="459"/>
      <c r="J103" s="459"/>
    </row>
    <row r="104" spans="2:13">
      <c r="B104" s="444"/>
      <c r="C104" s="441"/>
      <c r="D104" s="585">
        <f t="shared" si="12"/>
        <v>0</v>
      </c>
      <c r="E104" s="473">
        <f t="shared" ref="E104:E109" si="13">C104*D104</f>
        <v>0</v>
      </c>
      <c r="F104" s="472"/>
      <c r="G104" s="459"/>
      <c r="H104" s="459"/>
      <c r="I104" s="459"/>
      <c r="J104" s="459"/>
    </row>
    <row r="105" spans="2:13">
      <c r="B105" s="444"/>
      <c r="C105" s="441"/>
      <c r="D105" s="585">
        <f t="shared" si="12"/>
        <v>0</v>
      </c>
      <c r="E105" s="473">
        <f t="shared" si="13"/>
        <v>0</v>
      </c>
      <c r="F105" s="472"/>
      <c r="G105" s="459"/>
      <c r="H105" s="459"/>
      <c r="I105" s="459"/>
      <c r="J105" s="459"/>
    </row>
    <row r="106" spans="2:13">
      <c r="B106" s="444"/>
      <c r="C106" s="441"/>
      <c r="D106" s="585">
        <f t="shared" si="12"/>
        <v>0</v>
      </c>
      <c r="E106" s="473">
        <f t="shared" si="13"/>
        <v>0</v>
      </c>
      <c r="F106" s="472"/>
      <c r="G106" s="459"/>
      <c r="H106" s="459"/>
      <c r="I106" s="459"/>
      <c r="J106" s="459"/>
    </row>
    <row r="107" spans="2:13">
      <c r="B107" s="444"/>
      <c r="C107" s="441"/>
      <c r="D107" s="585">
        <f t="shared" si="12"/>
        <v>0</v>
      </c>
      <c r="E107" s="473">
        <f t="shared" si="13"/>
        <v>0</v>
      </c>
      <c r="F107" s="472"/>
      <c r="G107" s="459"/>
      <c r="H107" s="459"/>
      <c r="I107" s="459"/>
      <c r="J107" s="459"/>
    </row>
    <row r="108" spans="2:13">
      <c r="B108" s="444"/>
      <c r="C108" s="441"/>
      <c r="D108" s="585">
        <f t="shared" si="12"/>
        <v>0</v>
      </c>
      <c r="E108" s="473">
        <f t="shared" si="13"/>
        <v>0</v>
      </c>
      <c r="F108" s="472"/>
      <c r="G108" s="459"/>
      <c r="H108" s="459"/>
      <c r="I108" s="459"/>
      <c r="J108" s="459"/>
    </row>
    <row r="109" spans="2:13" ht="15" thickBot="1">
      <c r="B109" s="444"/>
      <c r="C109" s="441"/>
      <c r="D109" s="585">
        <f t="shared" si="12"/>
        <v>0</v>
      </c>
      <c r="E109" s="473">
        <f t="shared" si="13"/>
        <v>0</v>
      </c>
      <c r="F109" s="472"/>
      <c r="G109" s="459"/>
      <c r="H109" s="459"/>
      <c r="I109" s="459"/>
      <c r="J109" s="459"/>
    </row>
    <row r="110" spans="2:13" ht="15" thickBot="1">
      <c r="B110" s="484"/>
      <c r="C110" s="1016"/>
      <c r="D110" s="588" t="str">
        <f>"Average episode cost ("&amp;currency_enter&amp;"):"</f>
        <v>Average episode cost ():</v>
      </c>
      <c r="E110" s="485">
        <f>SUM(E102:E109)</f>
        <v>0</v>
      </c>
      <c r="H110" s="459"/>
      <c r="I110" s="459"/>
      <c r="J110" s="459"/>
    </row>
    <row r="111" spans="2:13">
      <c r="F111" s="458"/>
      <c r="H111" s="457"/>
      <c r="I111" s="459"/>
      <c r="J111" s="459"/>
    </row>
    <row r="112" spans="2:13">
      <c r="F112" s="458"/>
      <c r="H112" s="457"/>
      <c r="I112" s="459"/>
      <c r="J112" s="459"/>
    </row>
    <row r="113" spans="2:13" ht="15" thickBot="1">
      <c r="F113" s="458"/>
      <c r="H113" s="457"/>
      <c r="I113" s="459"/>
      <c r="J113" s="459"/>
    </row>
    <row r="114" spans="2:13" ht="18.600000000000001" thickBot="1">
      <c r="B114" s="519" t="str">
        <f>"8) "&amp;Package_Services!$B$15</f>
        <v xml:space="preserve">8) </v>
      </c>
      <c r="C114" s="1008"/>
      <c r="D114" s="475" t="s">
        <v>1150</v>
      </c>
      <c r="E114" s="1011">
        <f>Package_Services!F15</f>
        <v>0</v>
      </c>
      <c r="F114" s="476"/>
      <c r="G114" s="459"/>
      <c r="H114" s="459"/>
      <c r="I114" s="459"/>
      <c r="J114" s="459"/>
    </row>
    <row r="115" spans="2:13" ht="15" thickBot="1">
      <c r="F115" s="458"/>
      <c r="H115" s="459"/>
      <c r="I115" s="459"/>
      <c r="J115" s="459"/>
    </row>
    <row r="116" spans="2:13" ht="15" thickBot="1">
      <c r="B116" s="460" t="s">
        <v>1151</v>
      </c>
      <c r="C116" s="1012"/>
      <c r="D116" s="464"/>
      <c r="F116" s="439"/>
      <c r="G116" s="439"/>
      <c r="H116" s="445"/>
      <c r="I116" s="439"/>
      <c r="J116" s="439"/>
      <c r="K116" s="439"/>
      <c r="L116" s="439"/>
      <c r="M116" s="439"/>
    </row>
    <row r="117" spans="2:13">
      <c r="J117" s="459"/>
    </row>
    <row r="118" spans="2:13">
      <c r="B118" s="466"/>
      <c r="C118" s="467" t="s">
        <v>1360</v>
      </c>
      <c r="D118" s="591" t="s">
        <v>1488</v>
      </c>
      <c r="E118" s="468" t="str">
        <f>"Total cost ("&amp;currency_enter&amp;")"</f>
        <v>Total cost ()</v>
      </c>
      <c r="G118" s="459"/>
      <c r="H118" s="459"/>
      <c r="I118" s="459"/>
      <c r="J118" s="459"/>
    </row>
    <row r="119" spans="2:13">
      <c r="B119" s="442"/>
      <c r="C119" s="443"/>
      <c r="D119" s="584">
        <f t="shared" ref="D119:D126" si="14">IF(B119="",0,VLOOKUP(B119,lookup_assistive_device,4,FALSE))</f>
        <v>0</v>
      </c>
      <c r="E119" s="471">
        <f>C119*D119</f>
        <v>0</v>
      </c>
      <c r="F119" s="469"/>
      <c r="G119" s="459"/>
      <c r="H119" s="459"/>
      <c r="I119" s="459"/>
      <c r="J119" s="459"/>
    </row>
    <row r="120" spans="2:13">
      <c r="B120" s="444"/>
      <c r="C120" s="441"/>
      <c r="D120" s="585">
        <f t="shared" si="14"/>
        <v>0</v>
      </c>
      <c r="E120" s="473">
        <f>C120*D120</f>
        <v>0</v>
      </c>
      <c r="F120" s="472"/>
      <c r="G120" s="459"/>
      <c r="H120" s="459"/>
      <c r="I120" s="459"/>
      <c r="J120" s="459"/>
    </row>
    <row r="121" spans="2:13">
      <c r="B121" s="444"/>
      <c r="C121" s="441"/>
      <c r="D121" s="585">
        <f t="shared" si="14"/>
        <v>0</v>
      </c>
      <c r="E121" s="473">
        <f t="shared" ref="E121:E126" si="15">C121*D121</f>
        <v>0</v>
      </c>
      <c r="F121" s="472"/>
      <c r="G121" s="459"/>
      <c r="H121" s="459"/>
      <c r="I121" s="459"/>
      <c r="J121" s="459"/>
    </row>
    <row r="122" spans="2:13">
      <c r="B122" s="444"/>
      <c r="C122" s="441"/>
      <c r="D122" s="585">
        <f t="shared" si="14"/>
        <v>0</v>
      </c>
      <c r="E122" s="473">
        <f t="shared" si="15"/>
        <v>0</v>
      </c>
      <c r="F122" s="472"/>
      <c r="G122" s="459"/>
      <c r="H122" s="459"/>
      <c r="I122" s="459"/>
      <c r="J122" s="459"/>
    </row>
    <row r="123" spans="2:13">
      <c r="B123" s="444"/>
      <c r="C123" s="441"/>
      <c r="D123" s="585">
        <f t="shared" si="14"/>
        <v>0</v>
      </c>
      <c r="E123" s="473">
        <f t="shared" si="15"/>
        <v>0</v>
      </c>
      <c r="F123" s="472"/>
      <c r="G123" s="459"/>
      <c r="H123" s="459"/>
      <c r="I123" s="459"/>
      <c r="J123" s="459"/>
    </row>
    <row r="124" spans="2:13">
      <c r="B124" s="444"/>
      <c r="C124" s="441"/>
      <c r="D124" s="585">
        <f t="shared" si="14"/>
        <v>0</v>
      </c>
      <c r="E124" s="473">
        <f t="shared" si="15"/>
        <v>0</v>
      </c>
      <c r="F124" s="472"/>
      <c r="G124" s="459"/>
      <c r="H124" s="459"/>
      <c r="I124" s="459"/>
      <c r="J124" s="459"/>
    </row>
    <row r="125" spans="2:13">
      <c r="B125" s="444"/>
      <c r="C125" s="441"/>
      <c r="D125" s="585">
        <f t="shared" si="14"/>
        <v>0</v>
      </c>
      <c r="E125" s="473">
        <f t="shared" si="15"/>
        <v>0</v>
      </c>
      <c r="F125" s="472"/>
      <c r="G125" s="459"/>
      <c r="H125" s="459"/>
      <c r="I125" s="459"/>
      <c r="J125" s="459"/>
    </row>
    <row r="126" spans="2:13" ht="15" thickBot="1">
      <c r="B126" s="444"/>
      <c r="C126" s="441"/>
      <c r="D126" s="585">
        <f t="shared" si="14"/>
        <v>0</v>
      </c>
      <c r="E126" s="473">
        <f t="shared" si="15"/>
        <v>0</v>
      </c>
      <c r="F126" s="472"/>
      <c r="G126" s="459"/>
      <c r="H126" s="459"/>
      <c r="I126" s="459"/>
      <c r="J126" s="459"/>
    </row>
    <row r="127" spans="2:13" ht="15" thickBot="1">
      <c r="B127" s="484"/>
      <c r="C127" s="1016"/>
      <c r="D127" s="588" t="str">
        <f>"Average episode cost ("&amp;currency_enter&amp;"):"</f>
        <v>Average episode cost ():</v>
      </c>
      <c r="E127" s="485">
        <f>SUM(E119:E126)</f>
        <v>0</v>
      </c>
      <c r="H127" s="459"/>
      <c r="I127" s="459"/>
      <c r="J127" s="459"/>
    </row>
    <row r="128" spans="2:13">
      <c r="E128" s="589"/>
      <c r="F128" s="458"/>
      <c r="H128" s="457"/>
      <c r="I128" s="459"/>
      <c r="J128" s="459"/>
    </row>
    <row r="129" spans="2:13" ht="15" thickBot="1">
      <c r="E129" s="589"/>
      <c r="F129" s="458"/>
      <c r="H129" s="457"/>
      <c r="I129" s="459"/>
      <c r="J129" s="459"/>
    </row>
    <row r="130" spans="2:13" ht="18.600000000000001" thickBot="1">
      <c r="B130" s="519" t="str">
        <f>"9) "&amp;Package_Services!$B$16</f>
        <v xml:space="preserve">9) </v>
      </c>
      <c r="C130" s="1008"/>
      <c r="D130" s="475" t="s">
        <v>1150</v>
      </c>
      <c r="E130" s="1011">
        <f>Package_Services!E16</f>
        <v>0</v>
      </c>
      <c r="F130" s="476"/>
      <c r="G130" s="459"/>
      <c r="H130" s="459"/>
      <c r="I130" s="459"/>
      <c r="J130" s="459"/>
    </row>
    <row r="131" spans="2:13" ht="15" thickBot="1">
      <c r="F131" s="458"/>
      <c r="H131" s="457"/>
      <c r="I131" s="459"/>
      <c r="J131" s="459"/>
    </row>
    <row r="132" spans="2:13" ht="15" thickBot="1">
      <c r="B132" s="460" t="s">
        <v>1151</v>
      </c>
      <c r="C132" s="1012"/>
      <c r="D132" s="464"/>
      <c r="F132" s="439"/>
      <c r="G132" s="439"/>
      <c r="H132" s="445"/>
      <c r="I132" s="439"/>
      <c r="J132" s="439"/>
      <c r="K132" s="439"/>
      <c r="L132" s="439"/>
      <c r="M132" s="439"/>
    </row>
    <row r="133" spans="2:13">
      <c r="J133" s="459"/>
    </row>
    <row r="134" spans="2:13">
      <c r="B134" s="466"/>
      <c r="C134" s="467" t="s">
        <v>1360</v>
      </c>
      <c r="D134" s="591" t="s">
        <v>1488</v>
      </c>
      <c r="E134" s="468" t="str">
        <f>"Total cost ("&amp;currency_enter&amp;")"</f>
        <v>Total cost ()</v>
      </c>
      <c r="G134" s="459"/>
      <c r="H134" s="459"/>
      <c r="I134" s="459"/>
      <c r="J134" s="459"/>
    </row>
    <row r="135" spans="2:13">
      <c r="B135" s="442"/>
      <c r="C135" s="443"/>
      <c r="D135" s="584">
        <f t="shared" ref="D135:D142" si="16">IF(B135="",0,VLOOKUP(B135,lookup_assistive_device,4,FALSE))</f>
        <v>0</v>
      </c>
      <c r="E135" s="471">
        <f>C135*D135</f>
        <v>0</v>
      </c>
      <c r="F135" s="469"/>
      <c r="G135" s="459"/>
      <c r="H135" s="459"/>
      <c r="I135" s="459"/>
      <c r="J135" s="459"/>
    </row>
    <row r="136" spans="2:13">
      <c r="B136" s="444"/>
      <c r="C136" s="441"/>
      <c r="D136" s="585">
        <f t="shared" si="16"/>
        <v>0</v>
      </c>
      <c r="E136" s="473">
        <f>C136*D136</f>
        <v>0</v>
      </c>
      <c r="F136" s="472"/>
      <c r="G136" s="459"/>
      <c r="H136" s="459"/>
      <c r="I136" s="459"/>
      <c r="J136" s="459"/>
    </row>
    <row r="137" spans="2:13">
      <c r="B137" s="444"/>
      <c r="C137" s="441"/>
      <c r="D137" s="585">
        <f t="shared" si="16"/>
        <v>0</v>
      </c>
      <c r="E137" s="473">
        <f t="shared" ref="E137:E142" si="17">C137*D137</f>
        <v>0</v>
      </c>
      <c r="F137" s="472"/>
      <c r="G137" s="459"/>
      <c r="H137" s="459"/>
      <c r="I137" s="459"/>
      <c r="J137" s="459"/>
    </row>
    <row r="138" spans="2:13">
      <c r="B138" s="444"/>
      <c r="C138" s="441"/>
      <c r="D138" s="585">
        <f t="shared" si="16"/>
        <v>0</v>
      </c>
      <c r="E138" s="473">
        <f t="shared" si="17"/>
        <v>0</v>
      </c>
      <c r="F138" s="472"/>
      <c r="G138" s="459"/>
      <c r="H138" s="459"/>
      <c r="I138" s="459"/>
      <c r="J138" s="459"/>
    </row>
    <row r="139" spans="2:13">
      <c r="B139" s="444"/>
      <c r="C139" s="441"/>
      <c r="D139" s="585">
        <f t="shared" si="16"/>
        <v>0</v>
      </c>
      <c r="E139" s="473">
        <f t="shared" si="17"/>
        <v>0</v>
      </c>
      <c r="F139" s="472"/>
      <c r="G139" s="459"/>
      <c r="H139" s="459"/>
      <c r="I139" s="459"/>
      <c r="J139" s="459"/>
    </row>
    <row r="140" spans="2:13">
      <c r="B140" s="444"/>
      <c r="C140" s="441"/>
      <c r="D140" s="585">
        <f t="shared" si="16"/>
        <v>0</v>
      </c>
      <c r="E140" s="473">
        <f t="shared" si="17"/>
        <v>0</v>
      </c>
      <c r="F140" s="472"/>
      <c r="G140" s="459"/>
      <c r="H140" s="459"/>
      <c r="I140" s="459"/>
      <c r="J140" s="459"/>
    </row>
    <row r="141" spans="2:13">
      <c r="B141" s="444"/>
      <c r="C141" s="441"/>
      <c r="D141" s="585">
        <f t="shared" si="16"/>
        <v>0</v>
      </c>
      <c r="E141" s="473">
        <f t="shared" si="17"/>
        <v>0</v>
      </c>
      <c r="F141" s="472"/>
      <c r="G141" s="459"/>
      <c r="H141" s="459"/>
      <c r="I141" s="459"/>
      <c r="J141" s="459"/>
    </row>
    <row r="142" spans="2:13" ht="15" thickBot="1">
      <c r="B142" s="444"/>
      <c r="C142" s="441"/>
      <c r="D142" s="585">
        <f t="shared" si="16"/>
        <v>0</v>
      </c>
      <c r="E142" s="473">
        <f t="shared" si="17"/>
        <v>0</v>
      </c>
      <c r="F142" s="472"/>
      <c r="G142" s="459"/>
      <c r="H142" s="459"/>
      <c r="I142" s="459"/>
      <c r="J142" s="459"/>
    </row>
    <row r="143" spans="2:13" ht="15" thickBot="1">
      <c r="B143" s="484"/>
      <c r="C143" s="1016"/>
      <c r="D143" s="588" t="str">
        <f>"Average episode cost ("&amp;currency_enter&amp;"):"</f>
        <v>Average episode cost ():</v>
      </c>
      <c r="E143" s="485">
        <f>SUM(E135:E142)</f>
        <v>0</v>
      </c>
      <c r="H143" s="459"/>
      <c r="I143" s="459"/>
      <c r="J143" s="459"/>
    </row>
    <row r="144" spans="2:13">
      <c r="E144" s="589"/>
      <c r="F144" s="458"/>
      <c r="H144" s="457"/>
      <c r="I144" s="459"/>
      <c r="J144" s="459"/>
    </row>
    <row r="145" spans="2:13">
      <c r="F145" s="458"/>
      <c r="H145" s="457"/>
      <c r="I145" s="459"/>
      <c r="J145" s="459"/>
    </row>
    <row r="146" spans="2:13" ht="15" thickBot="1">
      <c r="E146" s="589"/>
      <c r="F146" s="458"/>
      <c r="H146" s="457"/>
      <c r="I146" s="459"/>
      <c r="J146" s="459"/>
    </row>
    <row r="147" spans="2:13" ht="18.600000000000001" thickBot="1">
      <c r="B147" s="519" t="str">
        <f>"10) "&amp;Package_Services!$B$17</f>
        <v xml:space="preserve">10) </v>
      </c>
      <c r="C147" s="1008"/>
      <c r="D147" s="475" t="s">
        <v>1150</v>
      </c>
      <c r="E147" s="1011">
        <f>Package_Services!E17</f>
        <v>0</v>
      </c>
      <c r="F147" s="476"/>
      <c r="G147" s="459"/>
      <c r="H147" s="459"/>
      <c r="I147" s="459"/>
      <c r="J147" s="459"/>
    </row>
    <row r="148" spans="2:13" ht="15" thickBot="1">
      <c r="E148" s="589"/>
      <c r="F148" s="458"/>
      <c r="H148" s="457"/>
      <c r="I148" s="459"/>
      <c r="J148" s="459"/>
    </row>
    <row r="149" spans="2:13" ht="15" thickBot="1">
      <c r="B149" s="460" t="s">
        <v>1151</v>
      </c>
      <c r="C149" s="1012"/>
      <c r="D149" s="464"/>
      <c r="E149" s="439"/>
      <c r="F149" s="439"/>
      <c r="G149" s="439"/>
      <c r="H149" s="445"/>
      <c r="I149" s="439"/>
      <c r="J149" s="439"/>
      <c r="K149" s="439"/>
      <c r="L149" s="439"/>
      <c r="M149" s="439"/>
    </row>
    <row r="150" spans="2:13">
      <c r="E150" s="589"/>
      <c r="J150" s="459"/>
    </row>
    <row r="151" spans="2:13">
      <c r="B151" s="466"/>
      <c r="C151" s="467" t="s">
        <v>1360</v>
      </c>
      <c r="D151" s="591" t="s">
        <v>1488</v>
      </c>
      <c r="E151" s="468" t="str">
        <f>"Total cost ("&amp;currency_enter&amp;")"</f>
        <v>Total cost ()</v>
      </c>
      <c r="G151" s="459"/>
      <c r="H151" s="459"/>
      <c r="I151" s="459"/>
      <c r="J151" s="459"/>
    </row>
    <row r="152" spans="2:13">
      <c r="B152" s="442"/>
      <c r="C152" s="443"/>
      <c r="D152" s="584">
        <f t="shared" ref="D152:D159" si="18">IF(B152="",0,VLOOKUP(B152,lookup_assistive_device,4,FALSE))</f>
        <v>0</v>
      </c>
      <c r="E152" s="471">
        <f>C152*D152</f>
        <v>0</v>
      </c>
      <c r="F152" s="469"/>
      <c r="G152" s="459"/>
      <c r="H152" s="459"/>
      <c r="I152" s="459"/>
      <c r="J152" s="459"/>
    </row>
    <row r="153" spans="2:13">
      <c r="B153" s="444"/>
      <c r="C153" s="441"/>
      <c r="D153" s="585">
        <f t="shared" si="18"/>
        <v>0</v>
      </c>
      <c r="E153" s="473">
        <f>C153*D153</f>
        <v>0</v>
      </c>
      <c r="F153" s="472"/>
      <c r="G153" s="459"/>
      <c r="H153" s="459"/>
      <c r="I153" s="459"/>
      <c r="J153" s="459"/>
    </row>
    <row r="154" spans="2:13">
      <c r="B154" s="444"/>
      <c r="C154" s="441"/>
      <c r="D154" s="585">
        <f t="shared" si="18"/>
        <v>0</v>
      </c>
      <c r="E154" s="473">
        <f t="shared" ref="E154:E159" si="19">C154*D154</f>
        <v>0</v>
      </c>
      <c r="F154" s="472"/>
      <c r="G154" s="459"/>
      <c r="H154" s="459"/>
      <c r="I154" s="459"/>
      <c r="J154" s="459"/>
    </row>
    <row r="155" spans="2:13">
      <c r="B155" s="444"/>
      <c r="C155" s="441"/>
      <c r="D155" s="585">
        <f t="shared" si="18"/>
        <v>0</v>
      </c>
      <c r="E155" s="473">
        <f t="shared" si="19"/>
        <v>0</v>
      </c>
      <c r="F155" s="472"/>
      <c r="G155" s="459"/>
      <c r="H155" s="459"/>
      <c r="I155" s="459"/>
      <c r="J155" s="459"/>
    </row>
    <row r="156" spans="2:13">
      <c r="B156" s="444"/>
      <c r="C156" s="441"/>
      <c r="D156" s="585">
        <f t="shared" si="18"/>
        <v>0</v>
      </c>
      <c r="E156" s="473">
        <f t="shared" si="19"/>
        <v>0</v>
      </c>
      <c r="F156" s="472"/>
      <c r="G156" s="459"/>
      <c r="H156" s="459"/>
      <c r="I156" s="459"/>
      <c r="J156" s="459"/>
    </row>
    <row r="157" spans="2:13">
      <c r="B157" s="444"/>
      <c r="C157" s="441"/>
      <c r="D157" s="585">
        <f t="shared" si="18"/>
        <v>0</v>
      </c>
      <c r="E157" s="473">
        <f t="shared" si="19"/>
        <v>0</v>
      </c>
      <c r="F157" s="472"/>
      <c r="G157" s="459"/>
      <c r="H157" s="459"/>
      <c r="I157" s="459"/>
      <c r="J157" s="459"/>
    </row>
    <row r="158" spans="2:13">
      <c r="B158" s="444"/>
      <c r="C158" s="441"/>
      <c r="D158" s="585">
        <f t="shared" si="18"/>
        <v>0</v>
      </c>
      <c r="E158" s="473">
        <f t="shared" si="19"/>
        <v>0</v>
      </c>
      <c r="F158" s="472"/>
      <c r="G158" s="459"/>
      <c r="H158" s="459"/>
      <c r="I158" s="459"/>
      <c r="J158" s="459"/>
    </row>
    <row r="159" spans="2:13" ht="15" thickBot="1">
      <c r="B159" s="444"/>
      <c r="C159" s="441"/>
      <c r="D159" s="585">
        <f t="shared" si="18"/>
        <v>0</v>
      </c>
      <c r="E159" s="473">
        <f t="shared" si="19"/>
        <v>0</v>
      </c>
      <c r="F159" s="472"/>
      <c r="G159" s="459"/>
      <c r="H159" s="459"/>
      <c r="I159" s="459"/>
      <c r="J159" s="459"/>
    </row>
    <row r="160" spans="2:13" ht="15" thickBot="1">
      <c r="B160" s="484"/>
      <c r="C160" s="1016"/>
      <c r="D160" s="588" t="str">
        <f>"Average episode cost ("&amp;currency_enter&amp;"):"</f>
        <v>Average episode cost ():</v>
      </c>
      <c r="E160" s="485">
        <f>SUM(E152:E159)</f>
        <v>0</v>
      </c>
      <c r="G160" s="458"/>
      <c r="H160" s="457"/>
      <c r="J160" s="459"/>
    </row>
    <row r="161" spans="5:5">
      <c r="E161" s="589"/>
    </row>
  </sheetData>
  <sheetProtection selectLockedCells="1"/>
  <conditionalFormatting sqref="B9:D16 B24:D31 B39:D46 B54:D61 B70:D77 B86:D93 B102:D109 B119:D126 B135:D142 B152:D159">
    <cfRule type="expression" dxfId="30" priority="3">
      <formula>#REF!="Administrative"</formula>
    </cfRule>
    <cfRule type="expression" dxfId="29" priority="4">
      <formula>#REF!="Campaigns"</formula>
    </cfRule>
    <cfRule type="expression" dxfId="28" priority="5">
      <formula>#REF!="Promotional"</formula>
    </cfRule>
  </conditionalFormatting>
  <dataValidations count="2">
    <dataValidation type="list" allowBlank="1" showInputMessage="1" showErrorMessage="1" sqref="D6 D21 D36 D51 D67 D83 D99 D116 D132 D149">
      <formula1>"Minutes, Hours, Days"</formula1>
    </dataValidation>
    <dataValidation type="list" allowBlank="1" showInputMessage="1" showErrorMessage="1" sqref="B9:B16 B24:B31 B39:B46 B54:B61 B70:B77 B86:B93 B102:B109 B119:B126 B135:B142 B152:B159">
      <formula1>assistive_device_list</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3"/>
  <sheetViews>
    <sheetView showGridLines="0" workbookViewId="0">
      <selection activeCell="J8" sqref="J8"/>
    </sheetView>
  </sheetViews>
  <sheetFormatPr baseColWidth="10" defaultColWidth="8.88671875" defaultRowHeight="14.4"/>
  <sheetData>
    <row r="3" spans="2:2">
      <c r="B3" s="232" t="s">
        <v>1541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4" tint="0.79998168889431442"/>
  </sheetPr>
  <dimension ref="A1:Z72"/>
  <sheetViews>
    <sheetView showGridLines="0" topLeftCell="A4" zoomScale="80" zoomScaleNormal="80" workbookViewId="0">
      <selection activeCell="H29" sqref="H29"/>
    </sheetView>
  </sheetViews>
  <sheetFormatPr baseColWidth="10" defaultColWidth="8.77734375" defaultRowHeight="14.4"/>
  <cols>
    <col min="1" max="1" width="4.21875" style="3" customWidth="1"/>
    <col min="2" max="2" width="20.44140625" style="3" customWidth="1"/>
    <col min="3" max="3" width="10.33203125" style="3" customWidth="1"/>
    <col min="4" max="4" width="34.44140625" style="3" bestFit="1" customWidth="1"/>
    <col min="5" max="5" width="16" style="3" customWidth="1"/>
    <col min="6" max="6" width="17.77734375" style="640" customWidth="1"/>
    <col min="7" max="7" width="16.21875" style="696" customWidth="1"/>
    <col min="8" max="8" width="24.5546875" style="640" customWidth="1"/>
    <col min="9" max="9" width="26.109375" style="697" customWidth="1"/>
    <col min="10" max="10" width="18.109375" style="3" customWidth="1"/>
    <col min="11" max="11" width="13.33203125" style="3" customWidth="1"/>
    <col min="12" max="14" width="10.6640625" style="3" customWidth="1"/>
    <col min="15" max="15" width="34.77734375" style="3" bestFit="1" customWidth="1"/>
    <col min="16" max="21" width="10.6640625" style="3" customWidth="1"/>
    <col min="22" max="22" width="10.109375" style="292" bestFit="1" customWidth="1"/>
    <col min="23" max="23" width="12.21875" style="292" bestFit="1" customWidth="1"/>
    <col min="24" max="16384" width="8.77734375" style="3"/>
  </cols>
  <sheetData>
    <row r="1" spans="1:26" s="419" customFormat="1" ht="24" customHeight="1">
      <c r="A1" s="314" t="s">
        <v>1447</v>
      </c>
      <c r="F1" s="699"/>
      <c r="G1" s="700"/>
      <c r="H1" s="699"/>
      <c r="I1" s="701"/>
      <c r="V1" s="702"/>
      <c r="W1" s="702"/>
    </row>
    <row r="2" spans="1:26" s="453" customFormat="1" ht="18">
      <c r="A2" s="50" t="s">
        <v>598</v>
      </c>
      <c r="F2" s="703"/>
      <c r="G2" s="704"/>
      <c r="H2" s="703"/>
      <c r="I2" s="705"/>
      <c r="V2" s="706"/>
      <c r="W2" s="706"/>
    </row>
    <row r="6" spans="1:26" ht="25.5" customHeight="1">
      <c r="B6" s="1075" t="s">
        <v>1179</v>
      </c>
      <c r="C6" s="642"/>
      <c r="D6" s="1070" t="s">
        <v>1152</v>
      </c>
      <c r="E6" s="1070" t="s">
        <v>0</v>
      </c>
      <c r="F6" s="1068" t="str">
        <f>"Number of HCWs at baseline year ("&amp;baseline_year&amp;")"</f>
        <v>Number of HCWs at baseline year ()</v>
      </c>
      <c r="G6" s="1077" t="s">
        <v>1132</v>
      </c>
      <c r="H6" s="1068" t="s">
        <v>1472</v>
      </c>
      <c r="I6" s="1068" t="s">
        <v>1449</v>
      </c>
      <c r="J6" s="643" t="str">
        <f>"Annual salary ("&amp;currency_enter&amp;")"</f>
        <v>Annual salary ()</v>
      </c>
      <c r="V6" s="3"/>
      <c r="X6" s="292"/>
    </row>
    <row r="7" spans="1:26" ht="37.049999999999997" customHeight="1">
      <c r="B7" s="1076"/>
      <c r="C7" s="644"/>
      <c r="D7" s="1071"/>
      <c r="E7" s="1071"/>
      <c r="F7" s="1069"/>
      <c r="G7" s="1078"/>
      <c r="H7" s="1069"/>
      <c r="I7" s="1069"/>
      <c r="J7" s="645">
        <f>baseline_year</f>
        <v>0</v>
      </c>
      <c r="P7" s="2"/>
      <c r="Q7" s="646"/>
      <c r="R7" s="647"/>
      <c r="S7" s="647"/>
      <c r="T7" s="647"/>
      <c r="U7" s="647"/>
      <c r="V7" s="647"/>
      <c r="W7" s="648"/>
      <c r="X7" s="649"/>
      <c r="Y7" s="435"/>
      <c r="Z7" s="435"/>
    </row>
    <row r="8" spans="1:26">
      <c r="A8" s="423"/>
      <c r="B8" s="650"/>
      <c r="C8" s="651"/>
      <c r="D8" s="652"/>
      <c r="E8" s="652"/>
      <c r="F8" s="653"/>
      <c r="G8" s="654"/>
      <c r="H8" s="653"/>
      <c r="I8" s="653"/>
      <c r="J8" s="655"/>
      <c r="P8" s="270"/>
      <c r="Q8" s="656"/>
      <c r="R8" s="435"/>
      <c r="S8" s="435"/>
      <c r="T8" s="435"/>
      <c r="U8" s="435"/>
      <c r="V8" s="435"/>
      <c r="X8" s="292"/>
    </row>
    <row r="9" spans="1:26">
      <c r="B9" s="1072" t="s">
        <v>1405</v>
      </c>
      <c r="C9" s="657" t="s">
        <v>1098</v>
      </c>
      <c r="D9" s="536"/>
      <c r="E9" s="537"/>
      <c r="F9" s="658"/>
      <c r="G9" s="1001"/>
      <c r="H9" s="660"/>
      <c r="I9" s="660"/>
      <c r="J9" s="661">
        <f>IF(_rt1=0,0,VLOOKUP(D9,lookup_salaries,6,FALSE))</f>
        <v>0</v>
      </c>
      <c r="P9" s="662"/>
      <c r="Q9" s="269"/>
      <c r="R9" s="269"/>
      <c r="S9" s="269"/>
      <c r="T9" s="269"/>
      <c r="U9" s="269"/>
      <c r="V9" s="269"/>
      <c r="W9" s="269"/>
      <c r="X9" s="289"/>
      <c r="Y9" s="269"/>
      <c r="Z9" s="269"/>
    </row>
    <row r="10" spans="1:26">
      <c r="B10" s="1073"/>
      <c r="C10" s="663" t="s">
        <v>1099</v>
      </c>
      <c r="D10" s="551"/>
      <c r="E10" s="552"/>
      <c r="F10" s="664"/>
      <c r="G10" s="1002"/>
      <c r="H10" s="666"/>
      <c r="I10" s="666"/>
      <c r="J10" s="667">
        <f>IF(_rt2=0,0,VLOOKUP(D10,lookup_salaries,6,FALSE))</f>
        <v>0</v>
      </c>
      <c r="P10" s="668"/>
      <c r="Q10" s="669"/>
      <c r="R10" s="669"/>
      <c r="S10" s="669"/>
      <c r="T10" s="669"/>
      <c r="U10" s="669"/>
      <c r="V10" s="669"/>
      <c r="W10" s="290"/>
      <c r="X10" s="290"/>
      <c r="Y10" s="271"/>
      <c r="Z10" s="271"/>
    </row>
    <row r="11" spans="1:26">
      <c r="B11" s="1073"/>
      <c r="C11" s="663" t="s">
        <v>1100</v>
      </c>
      <c r="D11" s="551"/>
      <c r="E11" s="552"/>
      <c r="F11" s="664"/>
      <c r="G11" s="1002"/>
      <c r="H11" s="670"/>
      <c r="I11" s="666"/>
      <c r="J11" s="667">
        <f>IF(_rt3=0,0,VLOOKUP(D11,lookup_salaries,6,FALSE))</f>
        <v>0</v>
      </c>
      <c r="P11" s="662"/>
      <c r="Q11" s="268"/>
      <c r="R11" s="268"/>
      <c r="S11" s="268"/>
      <c r="T11" s="268"/>
      <c r="U11" s="268"/>
      <c r="V11" s="268"/>
      <c r="W11" s="291"/>
      <c r="X11" s="291"/>
      <c r="Y11" s="268"/>
      <c r="Z11" s="268"/>
    </row>
    <row r="12" spans="1:26">
      <c r="B12" s="1073"/>
      <c r="C12" s="663" t="s">
        <v>1101</v>
      </c>
      <c r="D12" s="551"/>
      <c r="E12" s="552"/>
      <c r="F12" s="664"/>
      <c r="G12" s="1002"/>
      <c r="H12" s="670"/>
      <c r="I12" s="666"/>
      <c r="J12" s="667">
        <f>IF(_rt4=0,0,VLOOKUP(D12,lookup_salaries,6,FALSE))</f>
        <v>0</v>
      </c>
      <c r="P12" s="671"/>
      <c r="Q12" s="669"/>
      <c r="R12" s="669"/>
      <c r="S12" s="669"/>
      <c r="T12" s="669"/>
      <c r="U12" s="669"/>
      <c r="V12" s="669"/>
      <c r="W12" s="291"/>
      <c r="X12" s="291"/>
      <c r="Y12" s="672"/>
      <c r="Z12" s="672"/>
    </row>
    <row r="13" spans="1:26">
      <c r="B13" s="1073"/>
      <c r="C13" s="663" t="s">
        <v>1102</v>
      </c>
      <c r="D13" s="551"/>
      <c r="E13" s="552"/>
      <c r="F13" s="664"/>
      <c r="G13" s="1002"/>
      <c r="H13" s="670"/>
      <c r="I13" s="666"/>
      <c r="J13" s="667">
        <f>IF(_rt5=0,0,VLOOKUP(D13,lookup_salaries,6,FALSE))</f>
        <v>0</v>
      </c>
      <c r="P13" s="662"/>
      <c r="Q13" s="268"/>
      <c r="R13" s="268"/>
      <c r="S13" s="268"/>
      <c r="T13" s="268"/>
      <c r="U13" s="268"/>
      <c r="V13" s="268"/>
      <c r="W13" s="291"/>
      <c r="X13" s="291"/>
      <c r="Y13" s="272"/>
      <c r="Z13" s="272"/>
    </row>
    <row r="14" spans="1:26">
      <c r="B14" s="1073"/>
      <c r="C14" s="663" t="s">
        <v>1103</v>
      </c>
      <c r="D14" s="551"/>
      <c r="E14" s="552"/>
      <c r="F14" s="664"/>
      <c r="G14" s="1002"/>
      <c r="H14" s="670"/>
      <c r="I14" s="666"/>
      <c r="J14" s="667">
        <f>IF(_rt6=0,0,VLOOKUP(D14,lookup_salaries,6,FALSE))</f>
        <v>0</v>
      </c>
      <c r="P14" s="673"/>
      <c r="Q14" s="268"/>
      <c r="R14" s="268"/>
      <c r="S14" s="268"/>
      <c r="T14" s="268"/>
      <c r="U14" s="268"/>
      <c r="V14" s="268"/>
      <c r="X14" s="288"/>
    </row>
    <row r="15" spans="1:26">
      <c r="B15" s="1073"/>
      <c r="C15" s="663" t="s">
        <v>1104</v>
      </c>
      <c r="D15" s="551"/>
      <c r="E15" s="552"/>
      <c r="F15" s="664"/>
      <c r="G15" s="1002"/>
      <c r="H15" s="670"/>
      <c r="I15" s="666"/>
      <c r="J15" s="667">
        <f>IF(_rt7=0,0,VLOOKUP(D15,lookup_salaries,6,FALSE))</f>
        <v>0</v>
      </c>
      <c r="P15" s="673"/>
      <c r="Q15" s="268"/>
      <c r="R15" s="268"/>
      <c r="S15" s="268"/>
      <c r="T15" s="268"/>
      <c r="U15" s="268"/>
      <c r="V15" s="268"/>
      <c r="X15" s="292"/>
    </row>
    <row r="16" spans="1:26">
      <c r="B16" s="1073"/>
      <c r="C16" s="663" t="s">
        <v>1105</v>
      </c>
      <c r="D16" s="551"/>
      <c r="E16" s="552"/>
      <c r="F16" s="664"/>
      <c r="G16" s="1002"/>
      <c r="H16" s="670"/>
      <c r="I16" s="666"/>
      <c r="J16" s="667">
        <f>IF(_rt8=0,0,VLOOKUP(D16,lookup_salaries,6,FALSE))</f>
        <v>0</v>
      </c>
      <c r="P16" s="673"/>
      <c r="Q16" s="268"/>
      <c r="R16" s="268"/>
      <c r="S16" s="268"/>
      <c r="T16" s="268"/>
      <c r="U16" s="268"/>
      <c r="V16" s="268"/>
      <c r="X16" s="292"/>
    </row>
    <row r="17" spans="1:24">
      <c r="B17" s="1073"/>
      <c r="C17" s="663" t="s">
        <v>1106</v>
      </c>
      <c r="D17" s="551"/>
      <c r="E17" s="552"/>
      <c r="F17" s="664"/>
      <c r="G17" s="1002"/>
      <c r="H17" s="670"/>
      <c r="I17" s="666"/>
      <c r="J17" s="667">
        <f>IF(_rt9=0,0,VLOOKUP(D17,lookup_salaries,6,FALSE))</f>
        <v>0</v>
      </c>
      <c r="P17" s="673"/>
      <c r="Q17" s="268"/>
      <c r="R17" s="268"/>
      <c r="S17" s="268"/>
      <c r="T17" s="268"/>
      <c r="U17" s="268"/>
      <c r="V17" s="268"/>
      <c r="X17" s="292"/>
    </row>
    <row r="18" spans="1:24">
      <c r="B18" s="1073"/>
      <c r="C18" s="663" t="s">
        <v>1107</v>
      </c>
      <c r="D18" s="551"/>
      <c r="E18" s="552"/>
      <c r="F18" s="664"/>
      <c r="G18" s="1002"/>
      <c r="H18" s="670"/>
      <c r="I18" s="666"/>
      <c r="J18" s="667">
        <f>IF(_rt10=0,0,VLOOKUP(D18,lookup_salaries,6,FALSE))</f>
        <v>0</v>
      </c>
      <c r="P18" s="673"/>
      <c r="Q18" s="268"/>
      <c r="R18" s="268"/>
      <c r="S18" s="268"/>
      <c r="T18" s="268"/>
      <c r="U18" s="268"/>
      <c r="V18" s="268"/>
      <c r="X18" s="292"/>
    </row>
    <row r="19" spans="1:24">
      <c r="B19" s="1074"/>
      <c r="C19" s="674"/>
      <c r="D19" s="675"/>
      <c r="E19" s="676"/>
      <c r="F19" s="677"/>
      <c r="G19" s="678"/>
      <c r="H19" s="679"/>
      <c r="I19" s="679"/>
      <c r="J19" s="680"/>
      <c r="P19" s="681"/>
      <c r="Q19" s="228"/>
      <c r="R19" s="228"/>
      <c r="S19" s="228"/>
      <c r="T19" s="228"/>
      <c r="U19" s="228"/>
      <c r="V19" s="228"/>
      <c r="X19" s="292"/>
    </row>
    <row r="20" spans="1:24">
      <c r="A20" s="5"/>
      <c r="B20" s="682"/>
      <c r="C20" s="683"/>
      <c r="D20" s="684"/>
      <c r="E20" s="684"/>
      <c r="F20" s="685"/>
      <c r="G20" s="686"/>
      <c r="H20" s="687"/>
      <c r="I20" s="687"/>
      <c r="J20" s="688"/>
      <c r="P20" s="681"/>
      <c r="Q20" s="228"/>
      <c r="R20" s="228"/>
      <c r="S20" s="228"/>
      <c r="T20" s="228"/>
      <c r="U20" s="228"/>
      <c r="V20" s="228"/>
      <c r="X20" s="292"/>
    </row>
    <row r="22" spans="1:24">
      <c r="D22" s="610" t="s">
        <v>1389</v>
      </c>
      <c r="E22" s="690" t="str">
        <f>"Baseline ("&amp;'Scale-up'!C4&amp;")"</f>
        <v>Baseline (Baseline Year)</v>
      </c>
      <c r="F22" s="690" t="str">
        <f>'Scale-up'!D4</f>
        <v>Year 1</v>
      </c>
      <c r="G22" s="690" t="str">
        <f>'Scale-up'!E4</f>
        <v>Year 2</v>
      </c>
      <c r="H22" s="690" t="str">
        <f>'Scale-up'!F4</f>
        <v>Year 3</v>
      </c>
      <c r="I22" s="690" t="str">
        <f>'Scale-up'!G4</f>
        <v>Year 4</v>
      </c>
      <c r="J22" s="691" t="str">
        <f>'Scale-up'!H4</f>
        <v>Year 5</v>
      </c>
      <c r="U22" s="292"/>
      <c r="W22" s="3"/>
    </row>
    <row r="23" spans="1:24">
      <c r="C23" s="2"/>
      <c r="D23" s="1003">
        <f>_rt1</f>
        <v>0</v>
      </c>
      <c r="E23" s="692"/>
      <c r="F23" s="537"/>
      <c r="G23" s="537"/>
      <c r="H23" s="537"/>
      <c r="I23" s="537"/>
      <c r="J23" s="538"/>
    </row>
    <row r="24" spans="1:24">
      <c r="C24" s="2"/>
      <c r="D24" s="1003">
        <f>_rt2</f>
        <v>0</v>
      </c>
      <c r="E24" s="693"/>
      <c r="F24" s="552"/>
      <c r="G24" s="552"/>
      <c r="H24" s="552"/>
      <c r="I24" s="552"/>
      <c r="J24" s="694"/>
    </row>
    <row r="25" spans="1:24">
      <c r="C25" s="2"/>
      <c r="D25" s="1003">
        <f>_rt3</f>
        <v>0</v>
      </c>
      <c r="E25" s="693"/>
      <c r="F25" s="552"/>
      <c r="G25" s="552"/>
      <c r="H25" s="552"/>
      <c r="I25" s="552"/>
      <c r="J25" s="694"/>
    </row>
    <row r="26" spans="1:24">
      <c r="C26" s="2"/>
      <c r="D26" s="1003">
        <f>_rt4</f>
        <v>0</v>
      </c>
      <c r="E26" s="693"/>
      <c r="F26" s="552"/>
      <c r="G26" s="552"/>
      <c r="H26" s="552"/>
      <c r="I26" s="552"/>
      <c r="J26" s="694"/>
    </row>
    <row r="27" spans="1:24">
      <c r="C27" s="2"/>
      <c r="D27" s="1003">
        <f>_rt5</f>
        <v>0</v>
      </c>
      <c r="E27" s="693"/>
      <c r="F27" s="552"/>
      <c r="G27" s="552"/>
      <c r="H27" s="552"/>
      <c r="I27" s="552"/>
      <c r="J27" s="694"/>
    </row>
    <row r="28" spans="1:24">
      <c r="C28" s="2"/>
      <c r="D28" s="1003">
        <f>_rt6</f>
        <v>0</v>
      </c>
      <c r="E28" s="693"/>
      <c r="F28" s="552"/>
      <c r="G28" s="552"/>
      <c r="H28" s="552"/>
      <c r="I28" s="552"/>
      <c r="J28" s="694"/>
    </row>
    <row r="29" spans="1:24">
      <c r="C29" s="2"/>
      <c r="D29" s="1003">
        <f>_rt7</f>
        <v>0</v>
      </c>
      <c r="E29" s="693"/>
      <c r="F29" s="552"/>
      <c r="G29" s="552"/>
      <c r="H29" s="552"/>
      <c r="I29" s="552"/>
      <c r="J29" s="694"/>
    </row>
    <row r="30" spans="1:24">
      <c r="C30" s="2"/>
      <c r="D30" s="1003">
        <f>_rt8</f>
        <v>0</v>
      </c>
      <c r="E30" s="693"/>
      <c r="F30" s="552"/>
      <c r="G30" s="552"/>
      <c r="H30" s="552"/>
      <c r="I30" s="552"/>
      <c r="J30" s="694"/>
    </row>
    <row r="31" spans="1:24">
      <c r="C31" s="2"/>
      <c r="D31" s="1003">
        <f>_rt9</f>
        <v>0</v>
      </c>
      <c r="E31" s="693"/>
      <c r="F31" s="552"/>
      <c r="G31" s="552"/>
      <c r="H31" s="552"/>
      <c r="I31" s="552"/>
      <c r="J31" s="694"/>
    </row>
    <row r="32" spans="1:24">
      <c r="C32" s="2"/>
      <c r="D32" s="1004">
        <f>_rt10</f>
        <v>0</v>
      </c>
      <c r="E32" s="970"/>
      <c r="F32" s="560"/>
      <c r="G32" s="560"/>
      <c r="H32" s="560"/>
      <c r="I32" s="560"/>
      <c r="J32" s="695"/>
    </row>
    <row r="33" spans="6:9">
      <c r="F33" s="3"/>
      <c r="I33" s="696"/>
    </row>
    <row r="34" spans="6:9">
      <c r="F34" s="3"/>
      <c r="I34" s="696"/>
    </row>
    <row r="51" spans="1:9">
      <c r="B51" s="90"/>
    </row>
    <row r="52" spans="1:9">
      <c r="B52" s="90"/>
    </row>
    <row r="53" spans="1:9">
      <c r="B53" s="105"/>
      <c r="C53" s="55"/>
      <c r="D53" s="56"/>
      <c r="E53" s="56"/>
      <c r="F53" s="254"/>
      <c r="G53" s="249"/>
    </row>
    <row r="54" spans="1:9" ht="15" hidden="1" thickBot="1">
      <c r="A54" s="54" t="e">
        <f>IF(SUM(A55:A68)=0,0,1)</f>
        <v>#REF!</v>
      </c>
      <c r="B54" s="698" t="s">
        <v>730</v>
      </c>
      <c r="C54" s="58"/>
      <c r="D54" s="59" t="s">
        <v>1397</v>
      </c>
      <c r="E54" s="59"/>
      <c r="F54" s="255">
        <v>2019</v>
      </c>
      <c r="G54" s="250">
        <v>2020</v>
      </c>
      <c r="H54" s="255">
        <v>2021</v>
      </c>
      <c r="I54" s="262">
        <v>2022</v>
      </c>
    </row>
    <row r="55" spans="1:9" hidden="1">
      <c r="A55" s="54" t="e">
        <f>IF(#REF!="Manual Entry",1,0)</f>
        <v>#REF!</v>
      </c>
      <c r="B55" s="106">
        <f>_xlfn.SINGLE(_rt1)</f>
        <v>0</v>
      </c>
      <c r="C55" s="60"/>
      <c r="D55" s="61" t="e">
        <f>#REF!</f>
        <v>#REF!</v>
      </c>
      <c r="E55" s="320"/>
      <c r="F55" s="256"/>
      <c r="G55" s="251"/>
      <c r="H55" s="259"/>
      <c r="I55" s="264"/>
    </row>
    <row r="56" spans="1:9" hidden="1">
      <c r="A56" s="54" t="e">
        <f>IF(#REF!="Manual Entry",1,0)</f>
        <v>#REF!</v>
      </c>
      <c r="B56" s="107">
        <f>_xlfn.SINGLE(_rt2)</f>
        <v>0</v>
      </c>
      <c r="C56" s="60"/>
      <c r="D56" s="62" t="e">
        <f>#REF!</f>
        <v>#REF!</v>
      </c>
      <c r="E56" s="320"/>
      <c r="F56" s="257"/>
      <c r="G56" s="252"/>
      <c r="H56" s="260"/>
      <c r="I56" s="265"/>
    </row>
    <row r="57" spans="1:9" hidden="1">
      <c r="A57" s="54" t="e">
        <f>IF(#REF!="Manual Entry",1,0)</f>
        <v>#REF!</v>
      </c>
      <c r="B57" s="107">
        <f>_xlfn.SINGLE(_rt3)</f>
        <v>0</v>
      </c>
      <c r="C57" s="60"/>
      <c r="D57" s="62" t="e">
        <f>#REF!</f>
        <v>#REF!</v>
      </c>
      <c r="E57" s="320"/>
      <c r="F57" s="257"/>
      <c r="G57" s="252"/>
      <c r="H57" s="260"/>
      <c r="I57" s="265"/>
    </row>
    <row r="58" spans="1:9" hidden="1">
      <c r="A58" s="54" t="e">
        <f>IF(#REF!="Manual Entry",1,0)</f>
        <v>#REF!</v>
      </c>
      <c r="B58" s="107" t="e">
        <f>supervisor1</f>
        <v>#NAME?</v>
      </c>
      <c r="C58" s="60"/>
      <c r="D58" s="62" t="e">
        <f>#REF!</f>
        <v>#REF!</v>
      </c>
      <c r="E58" s="320"/>
      <c r="F58" s="257"/>
      <c r="G58" s="252"/>
      <c r="H58" s="260"/>
      <c r="I58" s="265"/>
    </row>
    <row r="59" spans="1:9" hidden="1">
      <c r="A59" s="54" t="e">
        <f>IF(#REF!="Manual Entry",1,0)</f>
        <v>#REF!</v>
      </c>
      <c r="B59" s="107" t="e">
        <f>supervisor2</f>
        <v>#NAME?</v>
      </c>
      <c r="C59" s="60"/>
      <c r="D59" s="62" t="e">
        <f>#REF!</f>
        <v>#REF!</v>
      </c>
      <c r="E59" s="320"/>
      <c r="F59" s="257"/>
      <c r="G59" s="252"/>
      <c r="H59" s="260"/>
      <c r="I59" s="265"/>
    </row>
    <row r="60" spans="1:9" hidden="1">
      <c r="A60" s="54" t="e">
        <f>IF(#REF!="Manual Entry",1,0)</f>
        <v>#REF!</v>
      </c>
      <c r="B60" s="107" t="e">
        <f>supervisor3</f>
        <v>#NAME?</v>
      </c>
      <c r="C60" s="60"/>
      <c r="D60" s="62" t="e">
        <f>#REF!</f>
        <v>#REF!</v>
      </c>
      <c r="E60" s="320"/>
      <c r="F60" s="257"/>
      <c r="G60" s="252"/>
      <c r="H60" s="260"/>
      <c r="I60" s="265"/>
    </row>
    <row r="61" spans="1:9" hidden="1">
      <c r="A61" s="54" t="e">
        <f>IF(#REF!="Manual Entry",1,0)</f>
        <v>#REF!</v>
      </c>
      <c r="B61" s="107" t="e">
        <f>#REF!</f>
        <v>#REF!</v>
      </c>
      <c r="C61" s="60"/>
      <c r="D61" s="62" t="e">
        <f>#REF!</f>
        <v>#REF!</v>
      </c>
      <c r="E61" s="320"/>
      <c r="F61" s="257"/>
      <c r="G61" s="252"/>
      <c r="H61" s="260"/>
      <c r="I61" s="265"/>
    </row>
    <row r="62" spans="1:9" hidden="1">
      <c r="A62" s="54" t="e">
        <f>IF(#REF!="Manual Entry",1,0)</f>
        <v>#REF!</v>
      </c>
      <c r="B62" s="107" t="e">
        <f>#REF!</f>
        <v>#REF!</v>
      </c>
      <c r="C62" s="60"/>
      <c r="D62" s="62" t="e">
        <f>#REF!</f>
        <v>#REF!</v>
      </c>
      <c r="E62" s="320"/>
      <c r="F62" s="257"/>
      <c r="G62" s="252"/>
      <c r="H62" s="260"/>
      <c r="I62" s="265"/>
    </row>
    <row r="63" spans="1:9" hidden="1">
      <c r="A63" s="54" t="e">
        <f>IF(#REF!="Manual Entry",1,0)</f>
        <v>#REF!</v>
      </c>
      <c r="B63" s="107" t="e">
        <f>#REF!</f>
        <v>#REF!</v>
      </c>
      <c r="C63" s="60"/>
      <c r="D63" s="62" t="e">
        <f>#REF!</f>
        <v>#REF!</v>
      </c>
      <c r="E63" s="320"/>
      <c r="F63" s="257"/>
      <c r="G63" s="252"/>
      <c r="H63" s="260"/>
      <c r="I63" s="265"/>
    </row>
    <row r="64" spans="1:9" hidden="1">
      <c r="A64" s="54" t="e">
        <f>IF(#REF!="Manual Entry",1,0)</f>
        <v>#REF!</v>
      </c>
      <c r="B64" s="107" t="e">
        <f>#REF!</f>
        <v>#REF!</v>
      </c>
      <c r="C64" s="60"/>
      <c r="D64" s="62" t="e">
        <f>#REF!</f>
        <v>#REF!</v>
      </c>
      <c r="E64" s="320"/>
      <c r="F64" s="257"/>
      <c r="G64" s="252"/>
      <c r="H64" s="260"/>
      <c r="I64" s="265"/>
    </row>
    <row r="65" spans="1:9" hidden="1">
      <c r="A65" s="54" t="e">
        <f>IF(#REF!="Manual Entry",1,0)</f>
        <v>#REF!</v>
      </c>
      <c r="B65" s="107" t="e">
        <f>#REF!</f>
        <v>#REF!</v>
      </c>
      <c r="C65" s="60"/>
      <c r="D65" s="62" t="e">
        <f>#REF!</f>
        <v>#REF!</v>
      </c>
      <c r="E65" s="320"/>
      <c r="F65" s="257"/>
      <c r="G65" s="252"/>
      <c r="H65" s="260"/>
      <c r="I65" s="265"/>
    </row>
    <row r="66" spans="1:9" hidden="1">
      <c r="A66" s="54" t="e">
        <f>IF(#REF!="Manual Entry",1,0)</f>
        <v>#REF!</v>
      </c>
      <c r="B66" s="107" t="e">
        <f>#REF!</f>
        <v>#REF!</v>
      </c>
      <c r="C66" s="60"/>
      <c r="D66" s="62" t="e">
        <f>#REF!</f>
        <v>#REF!</v>
      </c>
      <c r="E66" s="320"/>
      <c r="F66" s="257"/>
      <c r="G66" s="252"/>
      <c r="H66" s="260"/>
      <c r="I66" s="265"/>
    </row>
    <row r="67" spans="1:9" hidden="1">
      <c r="A67" s="54" t="e">
        <f>IF(#REF!="Manual Entry",1,0)</f>
        <v>#REF!</v>
      </c>
      <c r="B67" s="107" t="e">
        <f>#REF!</f>
        <v>#REF!</v>
      </c>
      <c r="C67" s="60"/>
      <c r="D67" s="62" t="e">
        <f>#REF!</f>
        <v>#REF!</v>
      </c>
      <c r="E67" s="320"/>
      <c r="F67" s="257"/>
      <c r="G67" s="252"/>
      <c r="H67" s="260"/>
      <c r="I67" s="265"/>
    </row>
    <row r="68" spans="1:9" ht="15" hidden="1" thickBot="1">
      <c r="A68" s="54" t="e">
        <f>IF(#REF!="Manual Entry",1,0)</f>
        <v>#REF!</v>
      </c>
      <c r="B68" s="108" t="e">
        <f>#REF!</f>
        <v>#REF!</v>
      </c>
      <c r="C68" s="60"/>
      <c r="D68" s="63" t="e">
        <f>#REF!</f>
        <v>#REF!</v>
      </c>
      <c r="E68" s="321"/>
      <c r="F68" s="258"/>
      <c r="G68" s="253"/>
      <c r="H68" s="261"/>
      <c r="I68" s="266"/>
    </row>
    <row r="69" spans="1:9">
      <c r="B69" s="90"/>
    </row>
    <row r="70" spans="1:9">
      <c r="B70" s="90"/>
    </row>
    <row r="71" spans="1:9">
      <c r="B71" s="90"/>
    </row>
    <row r="72" spans="1:9">
      <c r="B72" s="90"/>
    </row>
  </sheetData>
  <sheetProtection selectLockedCells="1"/>
  <mergeCells count="8">
    <mergeCell ref="I6:I7"/>
    <mergeCell ref="D6:D7"/>
    <mergeCell ref="B9:B19"/>
    <mergeCell ref="E6:E7"/>
    <mergeCell ref="B6:B7"/>
    <mergeCell ref="H6:H7"/>
    <mergeCell ref="F6:F7"/>
    <mergeCell ref="G6:G7"/>
  </mergeCells>
  <phoneticPr fontId="4" type="noConversion"/>
  <conditionalFormatting sqref="B55 D55:I55">
    <cfRule type="expression" dxfId="27" priority="64">
      <formula>#REF!&lt;&gt;"Manual Entry"</formula>
    </cfRule>
  </conditionalFormatting>
  <conditionalFormatting sqref="B56 D56:I56">
    <cfRule type="expression" dxfId="26" priority="63">
      <formula>#REF!&lt;&gt;"Manual Entry"</formula>
    </cfRule>
  </conditionalFormatting>
  <conditionalFormatting sqref="B57 D57:I57">
    <cfRule type="expression" dxfId="25" priority="62">
      <formula>#REF!&lt;&gt;"Manual Entry"</formula>
    </cfRule>
  </conditionalFormatting>
  <conditionalFormatting sqref="B58 D58:I58">
    <cfRule type="expression" dxfId="24" priority="61">
      <formula>#REF!&lt;&gt;"Manual Entry"</formula>
    </cfRule>
  </conditionalFormatting>
  <conditionalFormatting sqref="B59 D59:I59">
    <cfRule type="expression" dxfId="23" priority="60">
      <formula>#REF!&lt;&gt;"Manual Entry"</formula>
    </cfRule>
  </conditionalFormatting>
  <conditionalFormatting sqref="B60 D60:I60">
    <cfRule type="expression" dxfId="22" priority="59">
      <formula>#REF!&lt;&gt;"Manual Entry"</formula>
    </cfRule>
  </conditionalFormatting>
  <conditionalFormatting sqref="B61 D61:I61">
    <cfRule type="expression" dxfId="21" priority="58">
      <formula>#REF!&lt;&gt;"Manual Entry"</formula>
    </cfRule>
  </conditionalFormatting>
  <conditionalFormatting sqref="B62 D62:I62">
    <cfRule type="expression" dxfId="20" priority="57">
      <formula>#REF!&lt;&gt;"Manual Entry"</formula>
    </cfRule>
  </conditionalFormatting>
  <conditionalFormatting sqref="B63 D63:I63">
    <cfRule type="expression" dxfId="19" priority="56">
      <formula>#REF!&lt;&gt;"Manual Entry"</formula>
    </cfRule>
  </conditionalFormatting>
  <conditionalFormatting sqref="B64 D64:I64">
    <cfRule type="expression" dxfId="18" priority="76">
      <formula>#REF!&lt;&gt;"Manual Entry"</formula>
    </cfRule>
  </conditionalFormatting>
  <conditionalFormatting sqref="B65 D65:I65">
    <cfRule type="expression" dxfId="17" priority="78">
      <formula>#REF!&lt;&gt;"Manual Entry"</formula>
    </cfRule>
  </conditionalFormatting>
  <conditionalFormatting sqref="B66 D66:I66">
    <cfRule type="expression" dxfId="16" priority="80">
      <formula>#REF!&lt;&gt;"Manual Entry"</formula>
    </cfRule>
  </conditionalFormatting>
  <conditionalFormatting sqref="B67 D67:I67">
    <cfRule type="expression" dxfId="15" priority="82">
      <formula>#REF!&lt;&gt;"Manual Entry"</formula>
    </cfRule>
  </conditionalFormatting>
  <conditionalFormatting sqref="B68 D68:I68">
    <cfRule type="expression" dxfId="14" priority="84">
      <formula>#REF!&lt;&gt;"Manual Entry"</formula>
    </cfRule>
  </conditionalFormatting>
  <conditionalFormatting sqref="D23:J23">
    <cfRule type="expression" dxfId="13" priority="23">
      <formula>$I$9&lt;&gt;"Manual Entry"</formula>
    </cfRule>
  </conditionalFormatting>
  <conditionalFormatting sqref="D25:J25">
    <cfRule type="expression" dxfId="12" priority="21">
      <formula>$I$11&lt;&gt;"Manual Entry"</formula>
    </cfRule>
  </conditionalFormatting>
  <conditionalFormatting sqref="D26:J26">
    <cfRule type="expression" dxfId="11" priority="22">
      <formula>$I$12&lt;&gt;"Manual Entry"</formula>
    </cfRule>
  </conditionalFormatting>
  <conditionalFormatting sqref="D27:J27">
    <cfRule type="expression" dxfId="10" priority="20">
      <formula>$I$13&lt;&gt;"Manual Entry"</formula>
    </cfRule>
  </conditionalFormatting>
  <conditionalFormatting sqref="D28:J28">
    <cfRule type="expression" dxfId="9" priority="19">
      <formula>$I$14&lt;&gt;"Manual Entry"</formula>
    </cfRule>
  </conditionalFormatting>
  <conditionalFormatting sqref="D29:J29">
    <cfRule type="expression" dxfId="8" priority="10">
      <formula>$I$15&lt;&gt;"Manual Entry"</formula>
    </cfRule>
  </conditionalFormatting>
  <conditionalFormatting sqref="D30:J30">
    <cfRule type="expression" dxfId="7" priority="17">
      <formula>$I$16&lt;&gt;"Manual Entry"</formula>
    </cfRule>
  </conditionalFormatting>
  <conditionalFormatting sqref="D31:J31">
    <cfRule type="expression" dxfId="6" priority="16">
      <formula>$I$17&lt;&gt;"Manual Entry"</formula>
    </cfRule>
  </conditionalFormatting>
  <conditionalFormatting sqref="D32:J32">
    <cfRule type="expression" dxfId="5" priority="15">
      <formula>$I$18&lt;&gt;"Manual Entry"</formula>
    </cfRule>
  </conditionalFormatting>
  <conditionalFormatting sqref="D24:J24">
    <cfRule type="expression" dxfId="4" priority="1">
      <formula>$I$10&lt;&gt;"Manual Entry"</formula>
    </cfRule>
  </conditionalFormatting>
  <dataValidations count="4">
    <dataValidation type="list" allowBlank="1" showInputMessage="1" showErrorMessage="1" sqref="E9:E20">
      <formula1>program_list</formula1>
    </dataValidation>
    <dataValidation type="list" allowBlank="1" showInputMessage="1" showErrorMessage="1" sqref="I19:I20">
      <formula1>"CHW per Population, Manual Entry"</formula1>
    </dataValidation>
    <dataValidation type="list" allowBlank="1" showInputMessage="1" showErrorMessage="1" sqref="I9:I18">
      <formula1>"RT per Population, Manual Entry"</formula1>
    </dataValidation>
    <dataValidation type="list" allowBlank="1" showInputMessage="1" showErrorMessage="1" sqref="D9:D18">
      <formula1>rt_cat</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sheetPr>
  <dimension ref="A1:AC18"/>
  <sheetViews>
    <sheetView showGridLines="0" topLeftCell="M1" zoomScale="90" zoomScaleNormal="90" workbookViewId="0">
      <selection activeCell="L8" sqref="L8"/>
    </sheetView>
  </sheetViews>
  <sheetFormatPr baseColWidth="10" defaultColWidth="10" defaultRowHeight="14.4"/>
  <cols>
    <col min="1" max="1" width="6.21875" style="1" customWidth="1"/>
    <col min="2" max="2" width="32.109375" style="3" customWidth="1"/>
    <col min="3" max="3" width="17.21875" style="3" customWidth="1"/>
    <col min="4" max="4" width="23.21875" style="3" bestFit="1" customWidth="1"/>
    <col min="5" max="5" width="24.5546875" style="3" customWidth="1"/>
    <col min="6" max="7" width="20.77734375" style="3" customWidth="1"/>
    <col min="8" max="8" width="19.88671875" style="3" customWidth="1"/>
    <col min="9" max="9" width="23.77734375" style="3" customWidth="1"/>
    <col min="10" max="15" width="10" style="3"/>
    <col min="16" max="16" width="16.77734375" style="3" customWidth="1"/>
    <col min="17" max="21" width="11.21875" style="3" bestFit="1" customWidth="1"/>
    <col min="22" max="16384" width="10" style="3"/>
  </cols>
  <sheetData>
    <row r="1" spans="1:29" s="419" customFormat="1" ht="24" customHeight="1">
      <c r="A1" s="314" t="s">
        <v>751</v>
      </c>
      <c r="J1" s="487"/>
      <c r="K1" s="488"/>
      <c r="L1" s="488"/>
    </row>
    <row r="2" spans="1:29" s="453" customFormat="1" ht="18">
      <c r="A2" s="50" t="s">
        <v>598</v>
      </c>
      <c r="J2" s="489"/>
      <c r="K2" s="490"/>
      <c r="L2" s="490"/>
    </row>
    <row r="3" spans="1:29">
      <c r="P3" s="22" t="s">
        <v>1391</v>
      </c>
      <c r="X3" s="228" t="s">
        <v>1392</v>
      </c>
    </row>
    <row r="4" spans="1:29">
      <c r="P4" s="454">
        <v>2</v>
      </c>
      <c r="Q4" s="454">
        <v>3</v>
      </c>
      <c r="R4" s="454">
        <v>4</v>
      </c>
      <c r="S4" s="454">
        <v>5</v>
      </c>
      <c r="T4" s="454">
        <v>6</v>
      </c>
      <c r="U4" s="454">
        <v>7</v>
      </c>
      <c r="X4" s="454">
        <v>2</v>
      </c>
      <c r="Y4" s="454">
        <v>3</v>
      </c>
      <c r="Z4" s="454">
        <v>4</v>
      </c>
      <c r="AA4" s="454">
        <v>5</v>
      </c>
      <c r="AB4" s="454">
        <v>6</v>
      </c>
      <c r="AC4" s="454">
        <v>7</v>
      </c>
    </row>
    <row r="5" spans="1:29">
      <c r="N5" s="228"/>
      <c r="O5" s="228"/>
      <c r="P5" s="874">
        <f>baseline_year</f>
        <v>0</v>
      </c>
      <c r="Q5" s="875">
        <f>baseline_year+1</f>
        <v>1</v>
      </c>
      <c r="R5" s="875">
        <f>Q5+1</f>
        <v>2</v>
      </c>
      <c r="S5" s="875">
        <f>R5+1</f>
        <v>3</v>
      </c>
      <c r="T5" s="875">
        <f>S5+1</f>
        <v>4</v>
      </c>
      <c r="U5" s="876">
        <f>T5+1</f>
        <v>5</v>
      </c>
      <c r="X5" s="874">
        <f>baseline_year</f>
        <v>0</v>
      </c>
      <c r="Y5" s="875">
        <f>baseline_year+1</f>
        <v>1</v>
      </c>
      <c r="Z5" s="875">
        <f>Y5+1</f>
        <v>2</v>
      </c>
      <c r="AA5" s="875">
        <f>Z5+1</f>
        <v>3</v>
      </c>
      <c r="AB5" s="875">
        <f>AA5+1</f>
        <v>4</v>
      </c>
      <c r="AC5" s="876">
        <f>AB5+1</f>
        <v>5</v>
      </c>
    </row>
    <row r="6" spans="1:29" ht="28.8">
      <c r="B6" s="877" t="s">
        <v>1</v>
      </c>
      <c r="C6" s="878" t="s">
        <v>2</v>
      </c>
      <c r="D6" s="878" t="s">
        <v>1167</v>
      </c>
      <c r="E6" s="878" t="s">
        <v>0</v>
      </c>
      <c r="F6" s="878" t="s">
        <v>1544</v>
      </c>
      <c r="G6" s="878" t="s">
        <v>3</v>
      </c>
      <c r="H6" s="878" t="s">
        <v>1485</v>
      </c>
      <c r="I6" s="878" t="str">
        <f>"Cost per participant per session ("&amp;currency_enter&amp;")"</f>
        <v>Cost per participant per session ()</v>
      </c>
      <c r="N6" s="228"/>
      <c r="O6" s="228"/>
      <c r="P6" s="879"/>
      <c r="Q6" s="880"/>
      <c r="R6" s="880"/>
      <c r="S6" s="880"/>
      <c r="T6" s="880"/>
      <c r="U6" s="880"/>
      <c r="X6" s="879"/>
      <c r="Y6" s="880"/>
      <c r="Z6" s="880"/>
      <c r="AA6" s="880"/>
      <c r="AB6" s="880"/>
      <c r="AC6" s="880"/>
    </row>
    <row r="7" spans="1:29">
      <c r="N7" s="228"/>
      <c r="O7" s="228"/>
      <c r="P7" s="879"/>
      <c r="Q7" s="880"/>
      <c r="R7" s="880"/>
      <c r="S7" s="880"/>
      <c r="T7" s="880"/>
      <c r="U7" s="880"/>
      <c r="X7" s="879"/>
      <c r="Y7" s="880"/>
      <c r="Z7" s="880"/>
      <c r="AA7" s="880"/>
      <c r="AB7" s="880"/>
      <c r="AC7" s="880"/>
    </row>
    <row r="8" spans="1:29">
      <c r="A8" s="1">
        <v>1</v>
      </c>
      <c r="B8" s="536"/>
      <c r="C8" s="881"/>
      <c r="D8" s="659"/>
      <c r="E8" s="659"/>
      <c r="F8" s="659"/>
      <c r="G8" s="659"/>
      <c r="H8" s="1005"/>
      <c r="I8" s="550"/>
      <c r="N8" s="228">
        <f>IF(F8=0,0,IF(OR(F8="Monthly",F8="Quarterly",F8="Every 6 months",F8="Annually"),1,IF(OR(F8="Every 2 years",F8="Every 3 years",F8="Every 4 years",F8="Every 5 years"),2)))</f>
        <v>0</v>
      </c>
      <c r="O8" s="228">
        <f>IF(F8=0,0,IF(F8="Monthly",12,IF(F8="Quarterly",4,IF(F8="Every 6 months",2,IF(F8="Annually",1,IF(F8="Every 2 years",2,IF(F8="Every 3 years",3,IF(F8="Every 4 years",4,IF(F8="Every 5 years",5)))))))))</f>
        <v>0</v>
      </c>
      <c r="P8" s="882" t="b">
        <f>IF($N8=1,$O8*$I8*X8,IF($N8=2,IF($C8=P$5,$I8*X8,0)))</f>
        <v>0</v>
      </c>
      <c r="Q8" s="883">
        <f t="shared" ref="Q8:Q17" si="0">IF($N8=1,$O8*($I8*(1+inflation_rate))*Y8,IF(AND($N8=2,$C8=Q$5),$I8*Y8,IF(AND($N8=2,$C8&gt;Q$5),0,IF($C8=0,0,IF($C8=Q$5,($I8*(1+inflation_rate))*Y8,IF($C8&gt;Q$5,0,IF($C8+$O8=Q$5,($I8*(1+inflation_rate))*Y8,IF($C8+(2*$O8)=Q$5,($I8*(1+inflation_rate))*Y8,IF($C8+(3*$O8)=Q$5,($I8*(1+inflation_rate))*Y8,IF($C8+(4*$O8)=Q$5,($I8*(1+inflation_rate))*Y8,IF($C8+(5*$O8)=Q$5,($I8*(1+inflation_rate))*Y8,0)))))))))))</f>
        <v>0</v>
      </c>
      <c r="R8" s="883">
        <f t="shared" ref="R8:R17" si="1">IF($N8=1,$O8*($I8*(1+inflation_rate))*Z8,IF(AND($N8=2,$C8=R$5),$I8*Z8,IF(AND($N8=2,$C8&gt;R$5),0,IF($C8=0,0,IF($C8=R$5,($I8*(1+inflation_rate))*Z8,IF($C8&gt;R$5,0,IF($C8+$O8=R$5,($I8*(1+inflation_rate))*Z8,IF($C8+(2*$O8)=R$5,($I8*(1+inflation_rate))*Z8,IF($C8+(3*$O8)=R$5,($I8*(1+inflation_rate))*Z8,IF($C8+(4*$O8)=R$5,($I8*(1+inflation_rate))*Z8,IF($C8+(5*$O8)=R$5,($I8*(1+inflation_rate))*Z8,0)))))))))))</f>
        <v>0</v>
      </c>
      <c r="S8" s="883">
        <f t="shared" ref="S8:S17" si="2">IF($N8=1,$O8*($I8*(1+inflation_rate))*AA8,IF(AND($N8=2,$C8=S$5),$I8*AA8,IF(AND($N8=2,$C8&gt;S$5),0,IF($C8=0,0,IF($C8=S$5,($I8*(1+inflation_rate))*AA8,IF($C8&gt;S$5,0,IF($C8+$O8=S$5,($I8*(1+inflation_rate))*AA8,IF($C8+(2*$O8)=S$5,($I8*(1+inflation_rate))*AA8,IF($C8+(3*$O8)=S$5,($I8*(1+inflation_rate))*AA8,IF($C8+(4*$O8)=S$5,($I8*(1+inflation_rate))*AA8,IF($C8+(5*$O8)=S$5,($I8*(1+inflation_rate))*AA8,0)))))))))))</f>
        <v>0</v>
      </c>
      <c r="T8" s="883">
        <f t="shared" ref="T8:T17" si="3">IF($N8=1,$O8*($I8*(1+inflation_rate))*AB8,IF(AND($N8=2,$C8=T$5),$I8*AB8,IF(AND($N8=2,$C8&gt;T$5),0,IF($C8=0,0,IF($C8=T$5,($I8*(1+inflation_rate))*AB8,IF($C8&gt;T$5,0,IF($C8+$O8=T$5,($I8*(1+inflation_rate))*AB8,IF($C8+(2*$O8)=T$5,($I8*(1+inflation_rate))*AB8,IF($C8+(3*$O8)=T$5,($I8*(1+inflation_rate))*AB8,IF($C8+(4*$O8)=T$5,($I8*(1+inflation_rate))*AB8,IF($C8+(5*$O8)=T$5,($I8*(1+inflation_rate))*AB8,0)))))))))))</f>
        <v>0</v>
      </c>
      <c r="U8" s="884">
        <f t="shared" ref="U8:U17" si="4">IF($N8=1,$O8*($I8*(1+inflation_rate))*AC8,IF(AND($N8=2,$C8=U$5),$I8*AC8,IF(AND($N8=2,$C8&gt;U$5),0,IF($C8=0,0,IF($C8=U$5,($I8*(1+inflation_rate))*AC8,IF($C8&gt;U$5,0,IF($C8+$O8=U$5,($I8*(1+inflation_rate))*AC8,IF($C8+(2*$O8)=U$5,($I8*(1+inflation_rate))*AC8,IF($C8+(3*$O8)=U$5,($I8*(1+inflation_rate))*AC8,IF($C8+(4*$O8)=U$5,($I8*(1+inflation_rate))*AC8,IF($C8+(5*$O8)=U$5,($I8*(1+inflation_rate))*AC8,0)))))))))))</f>
        <v>0</v>
      </c>
      <c r="V8" s="228"/>
      <c r="X8" s="882">
        <f t="shared" ref="X8:AC17" si="5">IFERROR(VLOOKUP($D8,lookup_healthsystemlevels,X$4,FALSE)*$H8+(VLOOKUP($G8,lookup_rt_recurrent,X$4,FALSE)),0)</f>
        <v>0</v>
      </c>
      <c r="Y8" s="883">
        <f t="shared" si="5"/>
        <v>0</v>
      </c>
      <c r="Z8" s="883">
        <f t="shared" si="5"/>
        <v>0</v>
      </c>
      <c r="AA8" s="883">
        <f t="shared" si="5"/>
        <v>0</v>
      </c>
      <c r="AB8" s="883">
        <f t="shared" si="5"/>
        <v>0</v>
      </c>
      <c r="AC8" s="884">
        <f t="shared" si="5"/>
        <v>0</v>
      </c>
    </row>
    <row r="9" spans="1:29">
      <c r="A9" s="1">
        <v>2</v>
      </c>
      <c r="B9" s="551"/>
      <c r="C9" s="885"/>
      <c r="D9" s="665"/>
      <c r="E9" s="665"/>
      <c r="F9" s="665"/>
      <c r="G9" s="665"/>
      <c r="H9" s="553"/>
      <c r="I9" s="554"/>
      <c r="N9" s="228">
        <f t="shared" ref="N9:N17" si="6">IF(F9=0,0,IF(OR(F9="Monthly",F9="Quarterly",F9="Every 6 months",F9="Annually"),1,IF(OR(F9="Every 2 years",F9="Every 3 years",F9="Every 4 years",F9="Every 5 years"),2)))</f>
        <v>0</v>
      </c>
      <c r="O9" s="228">
        <f t="shared" ref="O9:O17" si="7">IF(F9=0,0,IF(F9="Monthly",12,IF(F9="Quarterly",4,IF(F9="Every 6 months",2,IF(F9="Annually",1,IF(F9="Every 2 years",2,IF(F9="Every 3 years",3,IF(F9="Every 4 years",4,IF(F9="Every 5 years",5)))))))))</f>
        <v>0</v>
      </c>
      <c r="P9" s="886" t="b">
        <f t="shared" ref="P9:P17" si="8">IF($N9=1,$O9*$I9*X9,IF($N9=2,IF($C9=P$5,$I9*X9,0)))</f>
        <v>0</v>
      </c>
      <c r="Q9" s="887">
        <f t="shared" si="0"/>
        <v>0</v>
      </c>
      <c r="R9" s="887">
        <f t="shared" si="1"/>
        <v>0</v>
      </c>
      <c r="S9" s="887">
        <f t="shared" si="2"/>
        <v>0</v>
      </c>
      <c r="T9" s="887">
        <f t="shared" si="3"/>
        <v>0</v>
      </c>
      <c r="U9" s="888">
        <f t="shared" si="4"/>
        <v>0</v>
      </c>
      <c r="V9" s="228"/>
      <c r="X9" s="886">
        <f t="shared" si="5"/>
        <v>0</v>
      </c>
      <c r="Y9" s="887">
        <f t="shared" si="5"/>
        <v>0</v>
      </c>
      <c r="Z9" s="887">
        <f t="shared" si="5"/>
        <v>0</v>
      </c>
      <c r="AA9" s="887">
        <f t="shared" si="5"/>
        <v>0</v>
      </c>
      <c r="AB9" s="887">
        <f t="shared" si="5"/>
        <v>0</v>
      </c>
      <c r="AC9" s="888">
        <f t="shared" si="5"/>
        <v>0</v>
      </c>
    </row>
    <row r="10" spans="1:29">
      <c r="A10" s="1">
        <v>3</v>
      </c>
      <c r="B10" s="551"/>
      <c r="C10" s="885"/>
      <c r="D10" s="665"/>
      <c r="E10" s="665"/>
      <c r="F10" s="665"/>
      <c r="G10" s="665"/>
      <c r="H10" s="553"/>
      <c r="I10" s="554"/>
      <c r="N10" s="228">
        <f t="shared" si="6"/>
        <v>0</v>
      </c>
      <c r="O10" s="228">
        <f t="shared" si="7"/>
        <v>0</v>
      </c>
      <c r="P10" s="886" t="b">
        <f t="shared" si="8"/>
        <v>0</v>
      </c>
      <c r="Q10" s="887">
        <f t="shared" si="0"/>
        <v>0</v>
      </c>
      <c r="R10" s="887">
        <f t="shared" si="1"/>
        <v>0</v>
      </c>
      <c r="S10" s="887">
        <f t="shared" si="2"/>
        <v>0</v>
      </c>
      <c r="T10" s="887">
        <f t="shared" si="3"/>
        <v>0</v>
      </c>
      <c r="U10" s="888">
        <f t="shared" si="4"/>
        <v>0</v>
      </c>
      <c r="V10" s="228"/>
      <c r="X10" s="886">
        <f t="shared" si="5"/>
        <v>0</v>
      </c>
      <c r="Y10" s="887">
        <f t="shared" si="5"/>
        <v>0</v>
      </c>
      <c r="Z10" s="887">
        <f t="shared" si="5"/>
        <v>0</v>
      </c>
      <c r="AA10" s="887">
        <f t="shared" si="5"/>
        <v>0</v>
      </c>
      <c r="AB10" s="887">
        <f t="shared" si="5"/>
        <v>0</v>
      </c>
      <c r="AC10" s="888">
        <f t="shared" si="5"/>
        <v>0</v>
      </c>
    </row>
    <row r="11" spans="1:29">
      <c r="A11" s="1">
        <v>4</v>
      </c>
      <c r="B11" s="551"/>
      <c r="C11" s="885"/>
      <c r="D11" s="665"/>
      <c r="E11" s="665"/>
      <c r="F11" s="665"/>
      <c r="G11" s="665"/>
      <c r="H11" s="553"/>
      <c r="I11" s="554"/>
      <c r="N11" s="228">
        <f t="shared" si="6"/>
        <v>0</v>
      </c>
      <c r="O11" s="228">
        <f t="shared" si="7"/>
        <v>0</v>
      </c>
      <c r="P11" s="886" t="b">
        <f t="shared" si="8"/>
        <v>0</v>
      </c>
      <c r="Q11" s="887">
        <f t="shared" si="0"/>
        <v>0</v>
      </c>
      <c r="R11" s="887">
        <f t="shared" si="1"/>
        <v>0</v>
      </c>
      <c r="S11" s="887">
        <f t="shared" si="2"/>
        <v>0</v>
      </c>
      <c r="T11" s="887">
        <f t="shared" si="3"/>
        <v>0</v>
      </c>
      <c r="U11" s="888">
        <f t="shared" si="4"/>
        <v>0</v>
      </c>
      <c r="V11" s="228"/>
      <c r="X11" s="886">
        <f t="shared" si="5"/>
        <v>0</v>
      </c>
      <c r="Y11" s="887">
        <f t="shared" si="5"/>
        <v>0</v>
      </c>
      <c r="Z11" s="887">
        <f t="shared" si="5"/>
        <v>0</v>
      </c>
      <c r="AA11" s="887">
        <f t="shared" si="5"/>
        <v>0</v>
      </c>
      <c r="AB11" s="887">
        <f t="shared" si="5"/>
        <v>0</v>
      </c>
      <c r="AC11" s="888">
        <f t="shared" si="5"/>
        <v>0</v>
      </c>
    </row>
    <row r="12" spans="1:29">
      <c r="A12" s="1">
        <v>5</v>
      </c>
      <c r="B12" s="551"/>
      <c r="C12" s="885"/>
      <c r="D12" s="665"/>
      <c r="E12" s="665"/>
      <c r="F12" s="665"/>
      <c r="G12" s="665"/>
      <c r="H12" s="553"/>
      <c r="I12" s="554"/>
      <c r="N12" s="228">
        <f t="shared" si="6"/>
        <v>0</v>
      </c>
      <c r="O12" s="228">
        <f t="shared" si="7"/>
        <v>0</v>
      </c>
      <c r="P12" s="886" t="b">
        <f t="shared" si="8"/>
        <v>0</v>
      </c>
      <c r="Q12" s="887">
        <f t="shared" si="0"/>
        <v>0</v>
      </c>
      <c r="R12" s="887">
        <f t="shared" si="1"/>
        <v>0</v>
      </c>
      <c r="S12" s="887">
        <f t="shared" si="2"/>
        <v>0</v>
      </c>
      <c r="T12" s="887">
        <f t="shared" si="3"/>
        <v>0</v>
      </c>
      <c r="U12" s="888">
        <f t="shared" si="4"/>
        <v>0</v>
      </c>
      <c r="V12" s="228"/>
      <c r="X12" s="886">
        <f t="shared" si="5"/>
        <v>0</v>
      </c>
      <c r="Y12" s="887">
        <f t="shared" si="5"/>
        <v>0</v>
      </c>
      <c r="Z12" s="887">
        <f t="shared" si="5"/>
        <v>0</v>
      </c>
      <c r="AA12" s="887">
        <f t="shared" si="5"/>
        <v>0</v>
      </c>
      <c r="AB12" s="887">
        <f t="shared" si="5"/>
        <v>0</v>
      </c>
      <c r="AC12" s="888">
        <f t="shared" si="5"/>
        <v>0</v>
      </c>
    </row>
    <row r="13" spans="1:29">
      <c r="A13" s="1">
        <v>6</v>
      </c>
      <c r="B13" s="551"/>
      <c r="C13" s="885"/>
      <c r="D13" s="665"/>
      <c r="E13" s="665"/>
      <c r="F13" s="665"/>
      <c r="G13" s="665"/>
      <c r="H13" s="553"/>
      <c r="I13" s="554"/>
      <c r="N13" s="228">
        <f t="shared" si="6"/>
        <v>0</v>
      </c>
      <c r="O13" s="228">
        <f t="shared" si="7"/>
        <v>0</v>
      </c>
      <c r="P13" s="886" t="b">
        <f t="shared" si="8"/>
        <v>0</v>
      </c>
      <c r="Q13" s="887">
        <f t="shared" si="0"/>
        <v>0</v>
      </c>
      <c r="R13" s="887">
        <f t="shared" si="1"/>
        <v>0</v>
      </c>
      <c r="S13" s="887">
        <f t="shared" si="2"/>
        <v>0</v>
      </c>
      <c r="T13" s="887">
        <f t="shared" si="3"/>
        <v>0</v>
      </c>
      <c r="U13" s="888">
        <f t="shared" si="4"/>
        <v>0</v>
      </c>
      <c r="V13" s="228"/>
      <c r="X13" s="886">
        <f t="shared" si="5"/>
        <v>0</v>
      </c>
      <c r="Y13" s="887">
        <f t="shared" si="5"/>
        <v>0</v>
      </c>
      <c r="Z13" s="887">
        <f t="shared" si="5"/>
        <v>0</v>
      </c>
      <c r="AA13" s="887">
        <f t="shared" si="5"/>
        <v>0</v>
      </c>
      <c r="AB13" s="887">
        <f t="shared" si="5"/>
        <v>0</v>
      </c>
      <c r="AC13" s="888">
        <f t="shared" si="5"/>
        <v>0</v>
      </c>
    </row>
    <row r="14" spans="1:29">
      <c r="A14" s="1">
        <v>7</v>
      </c>
      <c r="B14" s="551"/>
      <c r="C14" s="885"/>
      <c r="D14" s="665"/>
      <c r="E14" s="665"/>
      <c r="F14" s="665"/>
      <c r="G14" s="665"/>
      <c r="H14" s="553"/>
      <c r="I14" s="554"/>
      <c r="N14" s="228">
        <f t="shared" si="6"/>
        <v>0</v>
      </c>
      <c r="O14" s="228">
        <f t="shared" si="7"/>
        <v>0</v>
      </c>
      <c r="P14" s="886" t="b">
        <f t="shared" si="8"/>
        <v>0</v>
      </c>
      <c r="Q14" s="887">
        <f t="shared" si="0"/>
        <v>0</v>
      </c>
      <c r="R14" s="887">
        <f t="shared" si="1"/>
        <v>0</v>
      </c>
      <c r="S14" s="887">
        <f t="shared" si="2"/>
        <v>0</v>
      </c>
      <c r="T14" s="887">
        <f t="shared" si="3"/>
        <v>0</v>
      </c>
      <c r="U14" s="888">
        <f t="shared" si="4"/>
        <v>0</v>
      </c>
      <c r="V14" s="228"/>
      <c r="X14" s="886">
        <f t="shared" si="5"/>
        <v>0</v>
      </c>
      <c r="Y14" s="887">
        <f t="shared" si="5"/>
        <v>0</v>
      </c>
      <c r="Z14" s="887">
        <f t="shared" si="5"/>
        <v>0</v>
      </c>
      <c r="AA14" s="887">
        <f t="shared" si="5"/>
        <v>0</v>
      </c>
      <c r="AB14" s="887">
        <f t="shared" si="5"/>
        <v>0</v>
      </c>
      <c r="AC14" s="888">
        <f t="shared" si="5"/>
        <v>0</v>
      </c>
    </row>
    <row r="15" spans="1:29">
      <c r="A15" s="1">
        <v>8</v>
      </c>
      <c r="B15" s="551"/>
      <c r="C15" s="885"/>
      <c r="D15" s="665"/>
      <c r="E15" s="665"/>
      <c r="F15" s="665"/>
      <c r="G15" s="665"/>
      <c r="H15" s="553"/>
      <c r="I15" s="554"/>
      <c r="N15" s="228">
        <f t="shared" si="6"/>
        <v>0</v>
      </c>
      <c r="O15" s="228">
        <f t="shared" si="7"/>
        <v>0</v>
      </c>
      <c r="P15" s="886" t="b">
        <f t="shared" si="8"/>
        <v>0</v>
      </c>
      <c r="Q15" s="887">
        <f t="shared" si="0"/>
        <v>0</v>
      </c>
      <c r="R15" s="887">
        <f t="shared" si="1"/>
        <v>0</v>
      </c>
      <c r="S15" s="887">
        <f t="shared" si="2"/>
        <v>0</v>
      </c>
      <c r="T15" s="887">
        <f t="shared" si="3"/>
        <v>0</v>
      </c>
      <c r="U15" s="888">
        <f t="shared" si="4"/>
        <v>0</v>
      </c>
      <c r="V15" s="228"/>
      <c r="X15" s="886">
        <f t="shared" si="5"/>
        <v>0</v>
      </c>
      <c r="Y15" s="887">
        <f t="shared" si="5"/>
        <v>0</v>
      </c>
      <c r="Z15" s="887">
        <f t="shared" si="5"/>
        <v>0</v>
      </c>
      <c r="AA15" s="887">
        <f t="shared" si="5"/>
        <v>0</v>
      </c>
      <c r="AB15" s="887">
        <f t="shared" si="5"/>
        <v>0</v>
      </c>
      <c r="AC15" s="888">
        <f t="shared" si="5"/>
        <v>0</v>
      </c>
    </row>
    <row r="16" spans="1:29">
      <c r="A16" s="1">
        <v>9</v>
      </c>
      <c r="B16" s="551"/>
      <c r="C16" s="885"/>
      <c r="D16" s="665"/>
      <c r="E16" s="665"/>
      <c r="F16" s="665"/>
      <c r="G16" s="665"/>
      <c r="H16" s="553"/>
      <c r="I16" s="554"/>
      <c r="N16" s="228">
        <f t="shared" si="6"/>
        <v>0</v>
      </c>
      <c r="O16" s="228">
        <f t="shared" si="7"/>
        <v>0</v>
      </c>
      <c r="P16" s="886" t="b">
        <f t="shared" si="8"/>
        <v>0</v>
      </c>
      <c r="Q16" s="887">
        <f t="shared" si="0"/>
        <v>0</v>
      </c>
      <c r="R16" s="887">
        <f t="shared" si="1"/>
        <v>0</v>
      </c>
      <c r="S16" s="887">
        <f t="shared" si="2"/>
        <v>0</v>
      </c>
      <c r="T16" s="887">
        <f t="shared" si="3"/>
        <v>0</v>
      </c>
      <c r="U16" s="888">
        <f t="shared" si="4"/>
        <v>0</v>
      </c>
      <c r="X16" s="886">
        <f t="shared" si="5"/>
        <v>0</v>
      </c>
      <c r="Y16" s="887">
        <f t="shared" si="5"/>
        <v>0</v>
      </c>
      <c r="Z16" s="887">
        <f t="shared" si="5"/>
        <v>0</v>
      </c>
      <c r="AA16" s="887">
        <f t="shared" si="5"/>
        <v>0</v>
      </c>
      <c r="AB16" s="887">
        <f t="shared" si="5"/>
        <v>0</v>
      </c>
      <c r="AC16" s="888">
        <f t="shared" si="5"/>
        <v>0</v>
      </c>
    </row>
    <row r="17" spans="1:29">
      <c r="A17" s="1">
        <v>10</v>
      </c>
      <c r="B17" s="559"/>
      <c r="C17" s="889"/>
      <c r="D17" s="890"/>
      <c r="E17" s="890"/>
      <c r="F17" s="890"/>
      <c r="G17" s="890"/>
      <c r="H17" s="891"/>
      <c r="I17" s="562"/>
      <c r="N17" s="228">
        <f t="shared" si="6"/>
        <v>0</v>
      </c>
      <c r="O17" s="228">
        <f t="shared" si="7"/>
        <v>0</v>
      </c>
      <c r="P17" s="892" t="b">
        <f t="shared" si="8"/>
        <v>0</v>
      </c>
      <c r="Q17" s="893">
        <f t="shared" si="0"/>
        <v>0</v>
      </c>
      <c r="R17" s="893">
        <f t="shared" si="1"/>
        <v>0</v>
      </c>
      <c r="S17" s="893">
        <f t="shared" si="2"/>
        <v>0</v>
      </c>
      <c r="T17" s="893">
        <f t="shared" si="3"/>
        <v>0</v>
      </c>
      <c r="U17" s="894">
        <f t="shared" si="4"/>
        <v>0</v>
      </c>
      <c r="X17" s="892">
        <f t="shared" si="5"/>
        <v>0</v>
      </c>
      <c r="Y17" s="893">
        <f t="shared" si="5"/>
        <v>0</v>
      </c>
      <c r="Z17" s="893">
        <f t="shared" si="5"/>
        <v>0</v>
      </c>
      <c r="AA17" s="893">
        <f t="shared" si="5"/>
        <v>0</v>
      </c>
      <c r="AB17" s="893">
        <f t="shared" si="5"/>
        <v>0</v>
      </c>
      <c r="AC17" s="894">
        <f t="shared" si="5"/>
        <v>0</v>
      </c>
    </row>
    <row r="18" spans="1:29">
      <c r="N18" s="228"/>
      <c r="O18" s="898" t="s">
        <v>1451</v>
      </c>
      <c r="P18" s="895">
        <f t="shared" ref="P18:U18" si="9">SUM(P8:P17)</f>
        <v>0</v>
      </c>
      <c r="Q18" s="896">
        <f t="shared" si="9"/>
        <v>0</v>
      </c>
      <c r="R18" s="896">
        <f t="shared" si="9"/>
        <v>0</v>
      </c>
      <c r="S18" s="896">
        <f t="shared" si="9"/>
        <v>0</v>
      </c>
      <c r="T18" s="896">
        <f t="shared" si="9"/>
        <v>0</v>
      </c>
      <c r="U18" s="897">
        <f t="shared" si="9"/>
        <v>0</v>
      </c>
      <c r="X18" s="895">
        <f t="shared" ref="X18:AC18" si="10">SUM(X8:X17)</f>
        <v>0</v>
      </c>
      <c r="Y18" s="896">
        <f t="shared" si="10"/>
        <v>0</v>
      </c>
      <c r="Z18" s="896">
        <f t="shared" si="10"/>
        <v>0</v>
      </c>
      <c r="AA18" s="896">
        <f t="shared" si="10"/>
        <v>0</v>
      </c>
      <c r="AB18" s="896">
        <f t="shared" si="10"/>
        <v>0</v>
      </c>
      <c r="AC18" s="897">
        <f t="shared" si="10"/>
        <v>0</v>
      </c>
    </row>
  </sheetData>
  <dataValidations count="5">
    <dataValidation type="list" allowBlank="1" showInputMessage="1" showErrorMessage="1" sqref="C8:C17">
      <formula1>year_dropdown</formula1>
    </dataValidation>
    <dataValidation type="list" allowBlank="1" showInputMessage="1" showErrorMessage="1" sqref="D8:D17">
      <formula1>healthsystem_levels</formula1>
    </dataValidation>
    <dataValidation type="list" allowBlank="1" showInputMessage="1" showErrorMessage="1" sqref="E8:E17">
      <formula1>program_list</formula1>
    </dataValidation>
    <dataValidation type="list" allowBlank="1" showInputMessage="1" showErrorMessage="1" sqref="G8:G17">
      <formula1>rt_cat</formula1>
    </dataValidation>
    <dataValidation type="list" allowBlank="1" showInputMessage="1" showErrorMessage="1" sqref="F8:F17">
      <formula1>"Monthly, Quarterly, Every 6 months, Annually, Every 2 years, Every 3 years, Every 4 years, Every 5 years"</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X61"/>
  <sheetViews>
    <sheetView showGridLines="0" zoomScale="90" zoomScaleNormal="90" workbookViewId="0">
      <selection activeCell="H9" sqref="H9:H16"/>
    </sheetView>
  </sheetViews>
  <sheetFormatPr baseColWidth="10" defaultColWidth="8.77734375" defaultRowHeight="14.4"/>
  <cols>
    <col min="1" max="1" width="3.77734375" style="1" bestFit="1" customWidth="1"/>
    <col min="2" max="2" width="53.33203125" style="3" customWidth="1"/>
    <col min="3" max="3" width="23.33203125" style="847" customWidth="1"/>
    <col min="4" max="4" width="13.6640625" style="3" customWidth="1"/>
    <col min="5" max="5" width="15" style="495" bestFit="1" customWidth="1"/>
    <col min="6" max="6" width="17.77734375" style="3" customWidth="1"/>
    <col min="7" max="7" width="15.77734375" style="3" customWidth="1"/>
    <col min="8" max="8" width="22" style="847" bestFit="1" customWidth="1"/>
    <col min="9" max="9" width="21.77734375" style="847" customWidth="1"/>
    <col min="10" max="11" width="8.77734375" style="3"/>
    <col min="12" max="12" width="8.77734375" style="3" customWidth="1"/>
    <col min="13" max="13" width="10.33203125" style="3" customWidth="1"/>
    <col min="14" max="14" width="6" style="3" customWidth="1"/>
    <col min="15" max="15" width="8.77734375" style="3"/>
    <col min="16" max="16" width="5.88671875" style="3" customWidth="1"/>
    <col min="17" max="17" width="12.77734375" style="3" customWidth="1"/>
    <col min="18" max="22" width="12.6640625" style="3" customWidth="1"/>
    <col min="23" max="16384" width="8.77734375" style="3"/>
  </cols>
  <sheetData>
    <row r="1" spans="1:24" s="419" customFormat="1" ht="18">
      <c r="A1" s="314" t="s">
        <v>1489</v>
      </c>
      <c r="C1" s="872"/>
      <c r="H1" s="872"/>
      <c r="I1" s="872"/>
      <c r="L1" s="487"/>
      <c r="M1" s="488"/>
      <c r="N1" s="488"/>
    </row>
    <row r="2" spans="1:24" s="453" customFormat="1" ht="18">
      <c r="A2" s="50" t="s">
        <v>598</v>
      </c>
      <c r="C2" s="873"/>
      <c r="H2" s="873"/>
      <c r="I2" s="873"/>
      <c r="L2" s="489"/>
      <c r="M2" s="490"/>
      <c r="N2" s="490"/>
    </row>
    <row r="3" spans="1:24">
      <c r="E3" s="3"/>
      <c r="O3" s="368"/>
      <c r="P3" s="368"/>
      <c r="Q3" s="368"/>
      <c r="R3" s="368"/>
      <c r="S3" s="368"/>
      <c r="T3" s="368"/>
      <c r="U3" s="368"/>
      <c r="V3" s="368"/>
      <c r="W3" s="368"/>
    </row>
    <row r="4" spans="1:24">
      <c r="A4" s="3"/>
      <c r="C4" s="3"/>
      <c r="E4" s="3"/>
      <c r="H4" s="3"/>
      <c r="I4" s="3"/>
    </row>
    <row r="5" spans="1:24">
      <c r="B5" s="18" t="s">
        <v>1361</v>
      </c>
      <c r="C5" s="335"/>
      <c r="D5" s="335"/>
      <c r="E5" s="335"/>
      <c r="F5" s="641"/>
      <c r="G5" s="641"/>
      <c r="H5" s="1022"/>
      <c r="I5" s="917">
        <v>0.1</v>
      </c>
      <c r="O5" s="368"/>
      <c r="P5" s="368"/>
      <c r="Q5" s="22" t="s">
        <v>1131</v>
      </c>
      <c r="R5" s="368"/>
      <c r="S5" s="368"/>
      <c r="T5" s="368"/>
      <c r="U5" s="368"/>
      <c r="V5" s="368"/>
      <c r="W5" s="368"/>
      <c r="X5" s="90"/>
    </row>
    <row r="6" spans="1:24">
      <c r="E6" s="3"/>
      <c r="O6" s="368"/>
      <c r="W6" s="368"/>
      <c r="X6" s="90"/>
    </row>
    <row r="7" spans="1:24" ht="28.8">
      <c r="B7" s="848" t="s">
        <v>1492</v>
      </c>
      <c r="C7" s="1023" t="s">
        <v>1167</v>
      </c>
      <c r="D7" s="789" t="s">
        <v>0</v>
      </c>
      <c r="E7" s="789" t="s">
        <v>1545</v>
      </c>
      <c r="F7" s="788" t="str">
        <f>"Unit Cost ("&amp;currency_enter&amp;")"</f>
        <v>Unit Cost ()</v>
      </c>
      <c r="G7" s="789" t="s">
        <v>1490</v>
      </c>
      <c r="H7" s="789" t="s">
        <v>1491</v>
      </c>
      <c r="I7" s="851" t="str">
        <f>"Unit Cost + Markup ("&amp;currency_enter&amp;")"</f>
        <v>Unit Cost + Markup ()</v>
      </c>
      <c r="O7" s="368"/>
      <c r="P7" s="368"/>
      <c r="Q7" s="479">
        <v>2</v>
      </c>
      <c r="R7" s="368">
        <v>3</v>
      </c>
      <c r="S7" s="368">
        <v>4</v>
      </c>
      <c r="T7" s="368">
        <v>5</v>
      </c>
      <c r="U7" s="368">
        <v>6</v>
      </c>
      <c r="V7" s="368">
        <v>7</v>
      </c>
      <c r="W7" s="368"/>
      <c r="X7" s="90"/>
    </row>
    <row r="8" spans="1:24">
      <c r="E8" s="3"/>
      <c r="L8" s="454"/>
      <c r="O8" s="368"/>
      <c r="P8" s="90"/>
      <c r="Q8" s="1026">
        <f>baseline_year</f>
        <v>0</v>
      </c>
      <c r="R8" s="1027">
        <f>baseline_year+1</f>
        <v>1</v>
      </c>
      <c r="S8" s="1027">
        <f>R8+1</f>
        <v>2</v>
      </c>
      <c r="T8" s="1027">
        <f>S8+1</f>
        <v>3</v>
      </c>
      <c r="U8" s="1027">
        <f>T8+1</f>
        <v>4</v>
      </c>
      <c r="V8" s="1028">
        <f>U8+1</f>
        <v>5</v>
      </c>
      <c r="W8" s="368"/>
      <c r="X8" s="90"/>
    </row>
    <row r="9" spans="1:24">
      <c r="A9" s="1">
        <v>1</v>
      </c>
      <c r="B9" s="536"/>
      <c r="C9" s="1025"/>
      <c r="D9" s="1025"/>
      <c r="E9" s="660"/>
      <c r="F9" s="689"/>
      <c r="G9" s="537"/>
      <c r="H9" s="852"/>
      <c r="I9" s="853">
        <f>F9*(1+markup_equipement)</f>
        <v>0</v>
      </c>
      <c r="O9" s="368"/>
      <c r="P9" s="90"/>
      <c r="Q9" s="1029">
        <f t="shared" ref="Q9:Q40" si="0">IF($G9=0,0,IF(AND($G9=Q$8,$H9=0),$I9*$E9*VLOOKUP($C9,lookup_healthsystemlevels,Q$7,FALSE),IF(AND($G9=Q$8,$H9&gt;0),$I9*$E9*(VLOOKUP($C9,lookup_healthsystemlevels,Q$7,FALSE)),0)))</f>
        <v>0</v>
      </c>
      <c r="R9" s="1030">
        <f t="shared" ref="R9:R40" si="1">IF($G9=0,0,IF($G9&gt;R$8,0,IF(AND($G9=R$8,$H9&gt;0),($I9*((1+inflation_rate)^P$7))*$E9*(VLOOKUP($C9,lookup_healthsystemlevels,R$7,FALSE)),IF(AND($G9=R$8,$H9=0),($I9*((1+inflation_rate)^P$7))*$E9*(VLOOKUP($C9,lookup_healthsystemlevels,R$7,FALSE)),IF(AND($G9&lt;R$8,$H9=0),($I9*((1+inflation_rate)^P$7))*$E9*(VLOOKUP($C9,lookup_healthsystemlevels,R$7,FALSE)),IF(AND($G9&lt;R$8,$H9=1),(($I9*((1+inflation_rate)^P$7))*$E9*(VLOOKUP($C9,lookup_healthsystemlevels,R$7,FALSE))),IF(AND($G9&lt;R$8,$G9+$H9=R$8),($I9*((1+inflation_rate)^P$7))*$E9*(VLOOKUP($C9,lookup_healthsystemlevels,R$7,FALSE)),IF(AND($G9&lt;R$8,$G9+(2*$H9)=R$8),($I9*((1+inflation_rate)^P$7))*$E9*(VLOOKUP($C9,lookup_healthsystemlevels,R$7,FALSE)),IF(AND($G9&lt;R$8,$G9+(3*$H9)=R$8),($I9*((1+inflation_rate)^P$7))*$E9*(VLOOKUP($C9,lookup_healthsystemlevels,R$7,FALSE)),IF(AND($G9&lt;R$8,$G9+(4*$H9)=R$8),($I9*((1+inflation_rate)^P$7))*$E9*(VLOOKUP($C9,lookup_healthsystemlevels,R$7,FALSE)),IF(AND($G9&lt;R$8,$G9+(5*$H9)=R$8),($I9*((1+inflation_rate)^P$7))*$E9*(VLOOKUP($C9,lookup_healthsystemlevels,R$7,FALSE)),0)))))))))))</f>
        <v>0</v>
      </c>
      <c r="S9" s="1030">
        <f t="shared" ref="S9:S40" si="2">IF($G9=0,0,IF($G9&gt;S$8,0,IF(AND($G9=S$8,$H9&gt;0),($I9*((1+inflation_rate)^Q$7))*$E9*(VLOOKUP($C9,lookup_healthsystemlevels,S$7,FALSE)),IF(AND($G9=S$8,$H9=0),($I9*((1+inflation_rate)^Q$7))*$E9*(VLOOKUP($C9,lookup_healthsystemlevels,S$7,FALSE)),IF(AND($G9&lt;S$8,$H9=0),($I9*((1+inflation_rate)^Q$7))*$E9*(VLOOKUP($C9,lookup_healthsystemlevels,S$7,FALSE)),IF(AND($G9&lt;S$8,$H9=1),(($I9*((1+inflation_rate)^Q$7))*$E9*(VLOOKUP($C9,lookup_healthsystemlevels,S$7,FALSE))),IF(AND($G9&lt;S$8,$G9+$H9=S$8),($I9*((1+inflation_rate)^Q$7))*$E9*(VLOOKUP($C9,lookup_healthsystemlevels,S$7,FALSE)),IF(AND($G9&lt;S$8,$G9+(2*$H9)=S$8),($I9*((1+inflation_rate)^Q$7))*$E9*(VLOOKUP($C9,lookup_healthsystemlevels,S$7,FALSE)),IF(AND($G9&lt;S$8,$G9+(3*$H9)=S$8),($I9*((1+inflation_rate)^Q$7))*$E9*(VLOOKUP($C9,lookup_healthsystemlevels,S$7,FALSE)),IF(AND($G9&lt;S$8,$G9+(4*$H9)=S$8),($I9*((1+inflation_rate)^Q$7))*$E9*(VLOOKUP($C9,lookup_healthsystemlevels,S$7,FALSE)),IF(AND($G9&lt;S$8,$G9+(5*$H9)=S$8),($I9*((1+inflation_rate)^Q$7))*$E9*(VLOOKUP($C9,lookup_healthsystemlevels,S$7,FALSE)),0)))))))))))</f>
        <v>0</v>
      </c>
      <c r="T9" s="1030">
        <f t="shared" ref="T9:T40" si="3">IF($G9=0,0,IF($G9&gt;T$8,0,IF(AND($G9=T$8,$H9&gt;0),($I9*((1+inflation_rate)^R$7))*$E9*(VLOOKUP($C9,lookup_healthsystemlevels,T$7,FALSE)),IF(AND($G9=T$8,$H9=0),($I9*((1+inflation_rate)^R$7))*$E9*(VLOOKUP($C9,lookup_healthsystemlevels,T$7,FALSE)),IF(AND($G9&lt;T$8,$H9=0),($I9*((1+inflation_rate)^R$7))*$E9*(VLOOKUP($C9,lookup_healthsystemlevels,T$7,FALSE)),IF(AND($G9&lt;T$8,$H9=1),(($I9*((1+inflation_rate)^R$7))*$E9*(VLOOKUP($C9,lookup_healthsystemlevels,T$7,FALSE))),IF(AND($G9&lt;T$8,$G9+$H9=T$8),($I9*((1+inflation_rate)^R$7))*$E9*(VLOOKUP($C9,lookup_healthsystemlevels,T$7,FALSE)),IF(AND($G9&lt;T$8,$G9+(2*$H9)=T$8),($I9*((1+inflation_rate)^R$7))*$E9*(VLOOKUP($C9,lookup_healthsystemlevels,T$7,FALSE)),IF(AND($G9&lt;T$8,$G9+(3*$H9)=T$8),($I9*((1+inflation_rate)^R$7))*$E9*(VLOOKUP($C9,lookup_healthsystemlevels,T$7,FALSE)),IF(AND($G9&lt;T$8,$G9+(4*$H9)=T$8),($I9*((1+inflation_rate)^R$7))*$E9*(VLOOKUP($C9,lookup_healthsystemlevels,T$7,FALSE)),IF(AND($G9&lt;T$8,$G9+(5*$H9)=T$8),($I9*((1+inflation_rate)^R$7))*$E9*(VLOOKUP($C9,lookup_healthsystemlevels,T$7,FALSE)),0)))))))))))</f>
        <v>0</v>
      </c>
      <c r="U9" s="1030">
        <f t="shared" ref="U9:U40" si="4">IF($G9=0,0,IF($G9&gt;U$8,0,IF(AND($G9=U$8,$H9&gt;0),($I9*((1+inflation_rate)^S$7))*$E9*(VLOOKUP($C9,lookup_healthsystemlevels,U$7,FALSE)),IF(AND($G9=U$8,$H9=0),($I9*((1+inflation_rate)^S$7))*$E9*(VLOOKUP($C9,lookup_healthsystemlevels,U$7,FALSE)),IF(AND($G9&lt;U$8,$H9=0),($I9*((1+inflation_rate)^S$7))*$E9*(VLOOKUP($C9,lookup_healthsystemlevels,U$7,FALSE)),IF(AND($G9&lt;U$8,$H9=1),(($I9*((1+inflation_rate)^S$7))*$E9*(VLOOKUP($C9,lookup_healthsystemlevels,U$7,FALSE))),IF(AND($G9&lt;U$8,$G9+$H9=U$8),($I9*((1+inflation_rate)^S$7))*$E9*(VLOOKUP($C9,lookup_healthsystemlevels,U$7,FALSE)),IF(AND($G9&lt;U$8,$G9+(2*$H9)=U$8),($I9*((1+inflation_rate)^S$7))*$E9*(VLOOKUP($C9,lookup_healthsystemlevels,U$7,FALSE)),IF(AND($G9&lt;U$8,$G9+(3*$H9)=U$8),($I9*((1+inflation_rate)^S$7))*$E9*(VLOOKUP($C9,lookup_healthsystemlevels,U$7,FALSE)),IF(AND($G9&lt;U$8,$G9+(4*$H9)=U$8),($I9*((1+inflation_rate)^S$7))*$E9*(VLOOKUP($C9,lookup_healthsystemlevels,U$7,FALSE)),IF(AND($G9&lt;U$8,$G9+(5*$H9)=U$8),($I9*((1+inflation_rate)^S$7))*$E9*(VLOOKUP($C9,lookup_healthsystemlevels,U$7,FALSE)),0)))))))))))</f>
        <v>0</v>
      </c>
      <c r="V9" s="1031">
        <f t="shared" ref="V9:V40" si="5">IF($G9=0,0,IF($G9&gt;V$8,0,IF(AND($G9=V$8,$H9&gt;0),($I9*((1+inflation_rate)^T$7))*$E9*(VLOOKUP($C9,lookup_healthsystemlevels,V$7,FALSE)),IF(AND($G9=V$8,$H9=0),($I9*((1+inflation_rate)^T$7))*$E9*(VLOOKUP($C9,lookup_healthsystemlevels,V$7,FALSE)),IF(AND($G9&lt;V$8,$H9=0),($I9*((1+inflation_rate)^T$7))*$E9*(VLOOKUP($C9,lookup_healthsystemlevels,V$7,FALSE)),IF(AND($G9&lt;V$8,$H9=1),(($I9*((1+inflation_rate)^T$7))*$E9*(VLOOKUP($C9,lookup_healthsystemlevels,V$7,FALSE))),IF(AND($G9&lt;V$8,$G9+$H9=V$8),($I9*((1+inflation_rate)^T$7))*$E9*(VLOOKUP($C9,lookup_healthsystemlevels,V$7,FALSE)),IF(AND($G9&lt;V$8,$G9+(2*$H9)=V$8),($I9*((1+inflation_rate)^T$7))*$E9*(VLOOKUP($C9,lookup_healthsystemlevels,V$7,FALSE)),IF(AND($G9&lt;V$8,$G9+(3*$H9)=V$8),($I9*((1+inflation_rate)^T$7))*$E9*(VLOOKUP($C9,lookup_healthsystemlevels,V$7,FALSE)),IF(AND($G9&lt;V$8,$G9+(4*$H9)=V$8),($I9*((1+inflation_rate)^T$7))*$E9*(VLOOKUP($C9,lookup_healthsystemlevels,V$7,FALSE)),IF(AND($G9&lt;V$8,$G9+(5*$H9)=V$8),($I9*((1+inflation_rate)^T$7))*$E9*(VLOOKUP($C9,lookup_healthsystemlevels,V$7,FALSE)),0)))))))))))</f>
        <v>0</v>
      </c>
      <c r="W9" s="368"/>
      <c r="X9" s="90"/>
    </row>
    <row r="10" spans="1:24">
      <c r="A10" s="1">
        <v>2</v>
      </c>
      <c r="B10" s="551"/>
      <c r="C10" s="1049"/>
      <c r="D10" s="552"/>
      <c r="E10" s="666"/>
      <c r="F10" s="558"/>
      <c r="G10" s="552"/>
      <c r="H10" s="857"/>
      <c r="I10" s="858">
        <f t="shared" ref="I10:I41" si="6">E10*F10</f>
        <v>0</v>
      </c>
      <c r="O10" s="368"/>
      <c r="P10" s="90"/>
      <c r="Q10" s="1032">
        <f t="shared" si="0"/>
        <v>0</v>
      </c>
      <c r="R10" s="860">
        <f t="shared" si="1"/>
        <v>0</v>
      </c>
      <c r="S10" s="860">
        <f t="shared" si="2"/>
        <v>0</v>
      </c>
      <c r="T10" s="860">
        <f t="shared" si="3"/>
        <v>0</v>
      </c>
      <c r="U10" s="860">
        <f t="shared" si="4"/>
        <v>0</v>
      </c>
      <c r="V10" s="1033">
        <f t="shared" si="5"/>
        <v>0</v>
      </c>
      <c r="W10" s="368"/>
      <c r="X10" s="90"/>
    </row>
    <row r="11" spans="1:24">
      <c r="A11" s="1">
        <v>3</v>
      </c>
      <c r="B11" s="551"/>
      <c r="C11" s="1049"/>
      <c r="D11" s="552"/>
      <c r="E11" s="666"/>
      <c r="F11" s="558"/>
      <c r="G11" s="552"/>
      <c r="H11" s="857"/>
      <c r="I11" s="858">
        <f t="shared" si="6"/>
        <v>0</v>
      </c>
      <c r="O11" s="368"/>
      <c r="P11" s="90"/>
      <c r="Q11" s="1032">
        <f t="shared" si="0"/>
        <v>0</v>
      </c>
      <c r="R11" s="860">
        <f t="shared" si="1"/>
        <v>0</v>
      </c>
      <c r="S11" s="860">
        <f t="shared" si="2"/>
        <v>0</v>
      </c>
      <c r="T11" s="860">
        <f t="shared" si="3"/>
        <v>0</v>
      </c>
      <c r="U11" s="860">
        <f t="shared" si="4"/>
        <v>0</v>
      </c>
      <c r="V11" s="1033">
        <f t="shared" si="5"/>
        <v>0</v>
      </c>
      <c r="W11" s="368"/>
      <c r="X11" s="90"/>
    </row>
    <row r="12" spans="1:24">
      <c r="A12" s="1">
        <v>4</v>
      </c>
      <c r="B12" s="551"/>
      <c r="C12" s="1049"/>
      <c r="D12" s="552"/>
      <c r="E12" s="666"/>
      <c r="F12" s="558"/>
      <c r="G12" s="552"/>
      <c r="H12" s="857"/>
      <c r="I12" s="858">
        <f t="shared" si="6"/>
        <v>0</v>
      </c>
      <c r="O12" s="368"/>
      <c r="P12" s="90"/>
      <c r="Q12" s="1032">
        <f t="shared" si="0"/>
        <v>0</v>
      </c>
      <c r="R12" s="860">
        <f t="shared" si="1"/>
        <v>0</v>
      </c>
      <c r="S12" s="860">
        <f t="shared" si="2"/>
        <v>0</v>
      </c>
      <c r="T12" s="860">
        <f t="shared" si="3"/>
        <v>0</v>
      </c>
      <c r="U12" s="860">
        <f t="shared" si="4"/>
        <v>0</v>
      </c>
      <c r="V12" s="1033">
        <f t="shared" si="5"/>
        <v>0</v>
      </c>
      <c r="W12" s="368"/>
      <c r="X12" s="90"/>
    </row>
    <row r="13" spans="1:24">
      <c r="A13" s="1">
        <v>5</v>
      </c>
      <c r="B13" s="551"/>
      <c r="C13" s="1049"/>
      <c r="D13" s="552"/>
      <c r="E13" s="666"/>
      <c r="F13" s="558"/>
      <c r="G13" s="552"/>
      <c r="H13" s="857"/>
      <c r="I13" s="858">
        <f t="shared" si="6"/>
        <v>0</v>
      </c>
      <c r="O13" s="368"/>
      <c r="P13" s="90"/>
      <c r="Q13" s="1032">
        <f t="shared" si="0"/>
        <v>0</v>
      </c>
      <c r="R13" s="860">
        <f t="shared" si="1"/>
        <v>0</v>
      </c>
      <c r="S13" s="860">
        <f t="shared" si="2"/>
        <v>0</v>
      </c>
      <c r="T13" s="860">
        <f t="shared" si="3"/>
        <v>0</v>
      </c>
      <c r="U13" s="860">
        <f t="shared" si="4"/>
        <v>0</v>
      </c>
      <c r="V13" s="1033">
        <f t="shared" si="5"/>
        <v>0</v>
      </c>
      <c r="W13" s="368"/>
      <c r="X13" s="90"/>
    </row>
    <row r="14" spans="1:24">
      <c r="A14" s="1">
        <v>6</v>
      </c>
      <c r="B14" s="551"/>
      <c r="C14" s="1049"/>
      <c r="D14" s="552"/>
      <c r="E14" s="666"/>
      <c r="F14" s="558"/>
      <c r="G14" s="552"/>
      <c r="H14" s="857"/>
      <c r="I14" s="858">
        <f t="shared" si="6"/>
        <v>0</v>
      </c>
      <c r="O14" s="368"/>
      <c r="P14" s="90"/>
      <c r="Q14" s="1032">
        <f t="shared" si="0"/>
        <v>0</v>
      </c>
      <c r="R14" s="860">
        <f t="shared" si="1"/>
        <v>0</v>
      </c>
      <c r="S14" s="860">
        <f t="shared" si="2"/>
        <v>0</v>
      </c>
      <c r="T14" s="860">
        <f t="shared" si="3"/>
        <v>0</v>
      </c>
      <c r="U14" s="860">
        <f t="shared" si="4"/>
        <v>0</v>
      </c>
      <c r="V14" s="1033">
        <f t="shared" si="5"/>
        <v>0</v>
      </c>
      <c r="W14" s="368"/>
      <c r="X14" s="90"/>
    </row>
    <row r="15" spans="1:24">
      <c r="A15" s="1">
        <v>7</v>
      </c>
      <c r="B15" s="551"/>
      <c r="C15" s="1049"/>
      <c r="D15" s="552"/>
      <c r="E15" s="666"/>
      <c r="F15" s="558"/>
      <c r="G15" s="552"/>
      <c r="H15" s="857"/>
      <c r="I15" s="858">
        <f t="shared" si="6"/>
        <v>0</v>
      </c>
      <c r="O15" s="368"/>
      <c r="P15" s="90"/>
      <c r="Q15" s="1032">
        <f t="shared" si="0"/>
        <v>0</v>
      </c>
      <c r="R15" s="860">
        <f t="shared" si="1"/>
        <v>0</v>
      </c>
      <c r="S15" s="860">
        <f t="shared" si="2"/>
        <v>0</v>
      </c>
      <c r="T15" s="860">
        <f t="shared" si="3"/>
        <v>0</v>
      </c>
      <c r="U15" s="860">
        <f t="shared" si="4"/>
        <v>0</v>
      </c>
      <c r="V15" s="1033">
        <f t="shared" si="5"/>
        <v>0</v>
      </c>
      <c r="W15" s="368"/>
      <c r="X15" s="90"/>
    </row>
    <row r="16" spans="1:24">
      <c r="A16" s="1">
        <v>8</v>
      </c>
      <c r="B16" s="551"/>
      <c r="C16" s="1049"/>
      <c r="D16" s="552"/>
      <c r="E16" s="666"/>
      <c r="F16" s="558"/>
      <c r="G16" s="552"/>
      <c r="H16" s="857"/>
      <c r="I16" s="858">
        <f t="shared" si="6"/>
        <v>0</v>
      </c>
      <c r="O16" s="368"/>
      <c r="P16" s="90"/>
      <c r="Q16" s="1032">
        <f t="shared" si="0"/>
        <v>0</v>
      </c>
      <c r="R16" s="860">
        <f t="shared" si="1"/>
        <v>0</v>
      </c>
      <c r="S16" s="860">
        <f t="shared" si="2"/>
        <v>0</v>
      </c>
      <c r="T16" s="860">
        <f t="shared" si="3"/>
        <v>0</v>
      </c>
      <c r="U16" s="860">
        <f t="shared" si="4"/>
        <v>0</v>
      </c>
      <c r="V16" s="1033">
        <f t="shared" si="5"/>
        <v>0</v>
      </c>
      <c r="W16" s="368"/>
      <c r="X16" s="90"/>
    </row>
    <row r="17" spans="1:24">
      <c r="A17" s="1">
        <v>9</v>
      </c>
      <c r="B17" s="551"/>
      <c r="C17" s="1049"/>
      <c r="D17" s="552"/>
      <c r="E17" s="666"/>
      <c r="F17" s="558"/>
      <c r="G17" s="552"/>
      <c r="H17" s="857"/>
      <c r="I17" s="858">
        <f t="shared" si="6"/>
        <v>0</v>
      </c>
      <c r="O17" s="368"/>
      <c r="P17" s="90"/>
      <c r="Q17" s="1032">
        <f t="shared" si="0"/>
        <v>0</v>
      </c>
      <c r="R17" s="860">
        <f t="shared" si="1"/>
        <v>0</v>
      </c>
      <c r="S17" s="860">
        <f t="shared" si="2"/>
        <v>0</v>
      </c>
      <c r="T17" s="860">
        <f t="shared" si="3"/>
        <v>0</v>
      </c>
      <c r="U17" s="860">
        <f t="shared" si="4"/>
        <v>0</v>
      </c>
      <c r="V17" s="1033">
        <f t="shared" si="5"/>
        <v>0</v>
      </c>
      <c r="W17" s="368"/>
      <c r="X17" s="90"/>
    </row>
    <row r="18" spans="1:24">
      <c r="A18" s="1">
        <v>10</v>
      </c>
      <c r="B18" s="551"/>
      <c r="C18" s="1049"/>
      <c r="D18" s="552"/>
      <c r="E18" s="666"/>
      <c r="F18" s="558"/>
      <c r="G18" s="552"/>
      <c r="H18" s="857"/>
      <c r="I18" s="858">
        <f t="shared" si="6"/>
        <v>0</v>
      </c>
      <c r="O18" s="368"/>
      <c r="P18" s="90"/>
      <c r="Q18" s="1032">
        <f t="shared" si="0"/>
        <v>0</v>
      </c>
      <c r="R18" s="860">
        <f t="shared" si="1"/>
        <v>0</v>
      </c>
      <c r="S18" s="860">
        <f t="shared" si="2"/>
        <v>0</v>
      </c>
      <c r="T18" s="860">
        <f t="shared" si="3"/>
        <v>0</v>
      </c>
      <c r="U18" s="860">
        <f t="shared" si="4"/>
        <v>0</v>
      </c>
      <c r="V18" s="1033">
        <f t="shared" si="5"/>
        <v>0</v>
      </c>
      <c r="W18" s="368"/>
      <c r="X18" s="90"/>
    </row>
    <row r="19" spans="1:24">
      <c r="A19" s="1">
        <v>11</v>
      </c>
      <c r="B19" s="551"/>
      <c r="C19" s="1049"/>
      <c r="D19" s="552"/>
      <c r="E19" s="666"/>
      <c r="F19" s="558"/>
      <c r="G19" s="552"/>
      <c r="H19" s="857"/>
      <c r="I19" s="858">
        <f t="shared" si="6"/>
        <v>0</v>
      </c>
      <c r="O19" s="368"/>
      <c r="P19" s="90"/>
      <c r="Q19" s="1032">
        <f t="shared" si="0"/>
        <v>0</v>
      </c>
      <c r="R19" s="860">
        <f t="shared" si="1"/>
        <v>0</v>
      </c>
      <c r="S19" s="860">
        <f t="shared" si="2"/>
        <v>0</v>
      </c>
      <c r="T19" s="860">
        <f t="shared" si="3"/>
        <v>0</v>
      </c>
      <c r="U19" s="860">
        <f t="shared" si="4"/>
        <v>0</v>
      </c>
      <c r="V19" s="1033">
        <f t="shared" si="5"/>
        <v>0</v>
      </c>
      <c r="W19" s="368"/>
      <c r="X19" s="90"/>
    </row>
    <row r="20" spans="1:24">
      <c r="A20" s="1">
        <v>12</v>
      </c>
      <c r="B20" s="551"/>
      <c r="C20" s="1049"/>
      <c r="D20" s="552"/>
      <c r="E20" s="666"/>
      <c r="F20" s="558"/>
      <c r="G20" s="552"/>
      <c r="H20" s="857"/>
      <c r="I20" s="858">
        <f t="shared" si="6"/>
        <v>0</v>
      </c>
      <c r="O20" s="368"/>
      <c r="P20" s="90"/>
      <c r="Q20" s="1032">
        <f t="shared" si="0"/>
        <v>0</v>
      </c>
      <c r="R20" s="860">
        <f t="shared" si="1"/>
        <v>0</v>
      </c>
      <c r="S20" s="860">
        <f t="shared" si="2"/>
        <v>0</v>
      </c>
      <c r="T20" s="860">
        <f t="shared" si="3"/>
        <v>0</v>
      </c>
      <c r="U20" s="860">
        <f t="shared" si="4"/>
        <v>0</v>
      </c>
      <c r="V20" s="1033">
        <f t="shared" si="5"/>
        <v>0</v>
      </c>
      <c r="W20" s="368"/>
      <c r="X20" s="90"/>
    </row>
    <row r="21" spans="1:24">
      <c r="A21" s="1">
        <v>13</v>
      </c>
      <c r="B21" s="551"/>
      <c r="C21" s="1049"/>
      <c r="D21" s="552"/>
      <c r="E21" s="666"/>
      <c r="F21" s="558"/>
      <c r="G21" s="552"/>
      <c r="H21" s="857"/>
      <c r="I21" s="858">
        <f t="shared" si="6"/>
        <v>0</v>
      </c>
      <c r="O21" s="368"/>
      <c r="P21" s="90"/>
      <c r="Q21" s="1032">
        <f t="shared" si="0"/>
        <v>0</v>
      </c>
      <c r="R21" s="860">
        <f t="shared" si="1"/>
        <v>0</v>
      </c>
      <c r="S21" s="860">
        <f t="shared" si="2"/>
        <v>0</v>
      </c>
      <c r="T21" s="860">
        <f t="shared" si="3"/>
        <v>0</v>
      </c>
      <c r="U21" s="860">
        <f t="shared" si="4"/>
        <v>0</v>
      </c>
      <c r="V21" s="1033">
        <f t="shared" si="5"/>
        <v>0</v>
      </c>
      <c r="W21" s="368"/>
      <c r="X21" s="90"/>
    </row>
    <row r="22" spans="1:24">
      <c r="A22" s="1">
        <v>14</v>
      </c>
      <c r="B22" s="551"/>
      <c r="C22" s="1049"/>
      <c r="D22" s="552"/>
      <c r="E22" s="666"/>
      <c r="F22" s="558"/>
      <c r="G22" s="552"/>
      <c r="H22" s="857"/>
      <c r="I22" s="858">
        <f t="shared" si="6"/>
        <v>0</v>
      </c>
      <c r="O22" s="368"/>
      <c r="P22" s="90"/>
      <c r="Q22" s="1032">
        <f t="shared" si="0"/>
        <v>0</v>
      </c>
      <c r="R22" s="860">
        <f t="shared" si="1"/>
        <v>0</v>
      </c>
      <c r="S22" s="860">
        <f t="shared" si="2"/>
        <v>0</v>
      </c>
      <c r="T22" s="860">
        <f t="shared" si="3"/>
        <v>0</v>
      </c>
      <c r="U22" s="860">
        <f t="shared" si="4"/>
        <v>0</v>
      </c>
      <c r="V22" s="1033">
        <f t="shared" si="5"/>
        <v>0</v>
      </c>
      <c r="W22" s="368"/>
      <c r="X22" s="90"/>
    </row>
    <row r="23" spans="1:24">
      <c r="A23" s="1">
        <v>15</v>
      </c>
      <c r="B23" s="551"/>
      <c r="C23" s="1049"/>
      <c r="D23" s="552"/>
      <c r="E23" s="666"/>
      <c r="F23" s="558"/>
      <c r="G23" s="552"/>
      <c r="H23" s="857"/>
      <c r="I23" s="858">
        <f t="shared" si="6"/>
        <v>0</v>
      </c>
      <c r="O23" s="368"/>
      <c r="P23" s="90"/>
      <c r="Q23" s="1032">
        <f t="shared" si="0"/>
        <v>0</v>
      </c>
      <c r="R23" s="860">
        <f t="shared" si="1"/>
        <v>0</v>
      </c>
      <c r="S23" s="860">
        <f t="shared" si="2"/>
        <v>0</v>
      </c>
      <c r="T23" s="860">
        <f t="shared" si="3"/>
        <v>0</v>
      </c>
      <c r="U23" s="860">
        <f t="shared" si="4"/>
        <v>0</v>
      </c>
      <c r="V23" s="1033">
        <f t="shared" si="5"/>
        <v>0</v>
      </c>
      <c r="W23" s="368"/>
      <c r="X23" s="90"/>
    </row>
    <row r="24" spans="1:24">
      <c r="A24" s="1">
        <v>16</v>
      </c>
      <c r="B24" s="551"/>
      <c r="C24" s="1049"/>
      <c r="D24" s="552"/>
      <c r="E24" s="666"/>
      <c r="F24" s="558"/>
      <c r="G24" s="552"/>
      <c r="H24" s="857"/>
      <c r="I24" s="858">
        <f t="shared" si="6"/>
        <v>0</v>
      </c>
      <c r="O24" s="368"/>
      <c r="P24" s="90"/>
      <c r="Q24" s="1032">
        <f t="shared" si="0"/>
        <v>0</v>
      </c>
      <c r="R24" s="860">
        <f t="shared" si="1"/>
        <v>0</v>
      </c>
      <c r="S24" s="860">
        <f t="shared" si="2"/>
        <v>0</v>
      </c>
      <c r="T24" s="860">
        <f t="shared" si="3"/>
        <v>0</v>
      </c>
      <c r="U24" s="860">
        <f t="shared" si="4"/>
        <v>0</v>
      </c>
      <c r="V24" s="1033">
        <f t="shared" si="5"/>
        <v>0</v>
      </c>
      <c r="W24" s="368"/>
      <c r="X24" s="90"/>
    </row>
    <row r="25" spans="1:24">
      <c r="A25" s="1">
        <v>17</v>
      </c>
      <c r="B25" s="551"/>
      <c r="C25" s="1049"/>
      <c r="D25" s="552"/>
      <c r="E25" s="666"/>
      <c r="F25" s="558"/>
      <c r="G25" s="552"/>
      <c r="H25" s="857"/>
      <c r="I25" s="858">
        <f t="shared" si="6"/>
        <v>0</v>
      </c>
      <c r="O25" s="368"/>
      <c r="P25" s="90"/>
      <c r="Q25" s="1032">
        <f t="shared" si="0"/>
        <v>0</v>
      </c>
      <c r="R25" s="860">
        <f t="shared" si="1"/>
        <v>0</v>
      </c>
      <c r="S25" s="860">
        <f t="shared" si="2"/>
        <v>0</v>
      </c>
      <c r="T25" s="860">
        <f t="shared" si="3"/>
        <v>0</v>
      </c>
      <c r="U25" s="860">
        <f t="shared" si="4"/>
        <v>0</v>
      </c>
      <c r="V25" s="1033">
        <f t="shared" si="5"/>
        <v>0</v>
      </c>
      <c r="W25" s="368"/>
      <c r="X25" s="90"/>
    </row>
    <row r="26" spans="1:24">
      <c r="A26" s="1">
        <v>18</v>
      </c>
      <c r="B26" s="551"/>
      <c r="C26" s="1049"/>
      <c r="D26" s="552"/>
      <c r="E26" s="666"/>
      <c r="F26" s="558"/>
      <c r="G26" s="552"/>
      <c r="H26" s="857"/>
      <c r="I26" s="858">
        <f t="shared" si="6"/>
        <v>0</v>
      </c>
      <c r="O26" s="368"/>
      <c r="P26" s="90"/>
      <c r="Q26" s="1032">
        <f t="shared" si="0"/>
        <v>0</v>
      </c>
      <c r="R26" s="860">
        <f t="shared" si="1"/>
        <v>0</v>
      </c>
      <c r="S26" s="860">
        <f t="shared" si="2"/>
        <v>0</v>
      </c>
      <c r="T26" s="860">
        <f t="shared" si="3"/>
        <v>0</v>
      </c>
      <c r="U26" s="860">
        <f t="shared" si="4"/>
        <v>0</v>
      </c>
      <c r="V26" s="1033">
        <f t="shared" si="5"/>
        <v>0</v>
      </c>
      <c r="W26" s="368"/>
      <c r="X26" s="90"/>
    </row>
    <row r="27" spans="1:24">
      <c r="A27" s="1">
        <v>19</v>
      </c>
      <c r="B27" s="551"/>
      <c r="C27" s="1049"/>
      <c r="D27" s="552"/>
      <c r="E27" s="666"/>
      <c r="F27" s="558"/>
      <c r="G27" s="552"/>
      <c r="H27" s="857"/>
      <c r="I27" s="858">
        <f t="shared" si="6"/>
        <v>0</v>
      </c>
      <c r="O27" s="368"/>
      <c r="P27" s="90"/>
      <c r="Q27" s="1032">
        <f t="shared" si="0"/>
        <v>0</v>
      </c>
      <c r="R27" s="860">
        <f t="shared" si="1"/>
        <v>0</v>
      </c>
      <c r="S27" s="860">
        <f t="shared" si="2"/>
        <v>0</v>
      </c>
      <c r="T27" s="860">
        <f t="shared" si="3"/>
        <v>0</v>
      </c>
      <c r="U27" s="860">
        <f t="shared" si="4"/>
        <v>0</v>
      </c>
      <c r="V27" s="1033">
        <f t="shared" si="5"/>
        <v>0</v>
      </c>
      <c r="W27" s="368"/>
      <c r="X27" s="90"/>
    </row>
    <row r="28" spans="1:24">
      <c r="A28" s="1">
        <v>20</v>
      </c>
      <c r="B28" s="551"/>
      <c r="C28" s="1049"/>
      <c r="D28" s="552"/>
      <c r="E28" s="666"/>
      <c r="F28" s="558"/>
      <c r="G28" s="552"/>
      <c r="H28" s="857"/>
      <c r="I28" s="858">
        <f t="shared" si="6"/>
        <v>0</v>
      </c>
      <c r="O28" s="368"/>
      <c r="P28" s="90"/>
      <c r="Q28" s="1032">
        <f t="shared" si="0"/>
        <v>0</v>
      </c>
      <c r="R28" s="860">
        <f t="shared" si="1"/>
        <v>0</v>
      </c>
      <c r="S28" s="860">
        <f t="shared" si="2"/>
        <v>0</v>
      </c>
      <c r="T28" s="860">
        <f t="shared" si="3"/>
        <v>0</v>
      </c>
      <c r="U28" s="860">
        <f t="shared" si="4"/>
        <v>0</v>
      </c>
      <c r="V28" s="1033">
        <f t="shared" si="5"/>
        <v>0</v>
      </c>
      <c r="W28" s="368"/>
      <c r="X28" s="90"/>
    </row>
    <row r="29" spans="1:24">
      <c r="A29" s="1">
        <v>21</v>
      </c>
      <c r="B29" s="551"/>
      <c r="C29" s="1049"/>
      <c r="D29" s="552"/>
      <c r="E29" s="666"/>
      <c r="F29" s="558"/>
      <c r="G29" s="552"/>
      <c r="H29" s="857"/>
      <c r="I29" s="858">
        <f t="shared" si="6"/>
        <v>0</v>
      </c>
      <c r="O29" s="368"/>
      <c r="P29" s="90"/>
      <c r="Q29" s="1032">
        <f t="shared" si="0"/>
        <v>0</v>
      </c>
      <c r="R29" s="860">
        <f t="shared" si="1"/>
        <v>0</v>
      </c>
      <c r="S29" s="860">
        <f t="shared" si="2"/>
        <v>0</v>
      </c>
      <c r="T29" s="860">
        <f t="shared" si="3"/>
        <v>0</v>
      </c>
      <c r="U29" s="860">
        <f t="shared" si="4"/>
        <v>0</v>
      </c>
      <c r="V29" s="1033">
        <f t="shared" si="5"/>
        <v>0</v>
      </c>
      <c r="W29" s="368"/>
      <c r="X29" s="90"/>
    </row>
    <row r="30" spans="1:24">
      <c r="A30" s="1">
        <v>22</v>
      </c>
      <c r="B30" s="551"/>
      <c r="C30" s="1049"/>
      <c r="D30" s="552"/>
      <c r="E30" s="666"/>
      <c r="F30" s="558"/>
      <c r="G30" s="552"/>
      <c r="H30" s="857"/>
      <c r="I30" s="858">
        <f t="shared" si="6"/>
        <v>0</v>
      </c>
      <c r="O30" s="368"/>
      <c r="P30" s="90"/>
      <c r="Q30" s="1032">
        <f t="shared" si="0"/>
        <v>0</v>
      </c>
      <c r="R30" s="860">
        <f t="shared" si="1"/>
        <v>0</v>
      </c>
      <c r="S30" s="860">
        <f t="shared" si="2"/>
        <v>0</v>
      </c>
      <c r="T30" s="860">
        <f t="shared" si="3"/>
        <v>0</v>
      </c>
      <c r="U30" s="860">
        <f t="shared" si="4"/>
        <v>0</v>
      </c>
      <c r="V30" s="1033">
        <f t="shared" si="5"/>
        <v>0</v>
      </c>
      <c r="W30" s="368"/>
      <c r="X30" s="90"/>
    </row>
    <row r="31" spans="1:24">
      <c r="A31" s="1">
        <v>23</v>
      </c>
      <c r="B31" s="551"/>
      <c r="C31" s="1049"/>
      <c r="D31" s="552"/>
      <c r="E31" s="666"/>
      <c r="F31" s="558"/>
      <c r="G31" s="552"/>
      <c r="H31" s="857"/>
      <c r="I31" s="858">
        <f t="shared" si="6"/>
        <v>0</v>
      </c>
      <c r="O31" s="368"/>
      <c r="P31" s="90"/>
      <c r="Q31" s="1032">
        <f t="shared" si="0"/>
        <v>0</v>
      </c>
      <c r="R31" s="860">
        <f t="shared" si="1"/>
        <v>0</v>
      </c>
      <c r="S31" s="860">
        <f t="shared" si="2"/>
        <v>0</v>
      </c>
      <c r="T31" s="860">
        <f t="shared" si="3"/>
        <v>0</v>
      </c>
      <c r="U31" s="860">
        <f t="shared" si="4"/>
        <v>0</v>
      </c>
      <c r="V31" s="1033">
        <f t="shared" si="5"/>
        <v>0</v>
      </c>
      <c r="W31" s="368"/>
      <c r="X31" s="90"/>
    </row>
    <row r="32" spans="1:24">
      <c r="A32" s="1">
        <v>24</v>
      </c>
      <c r="B32" s="551"/>
      <c r="C32" s="1049"/>
      <c r="D32" s="552"/>
      <c r="E32" s="666"/>
      <c r="F32" s="558"/>
      <c r="G32" s="552"/>
      <c r="H32" s="857"/>
      <c r="I32" s="858">
        <f t="shared" si="6"/>
        <v>0</v>
      </c>
      <c r="O32" s="368"/>
      <c r="P32" s="90"/>
      <c r="Q32" s="1032">
        <f t="shared" si="0"/>
        <v>0</v>
      </c>
      <c r="R32" s="860">
        <f t="shared" si="1"/>
        <v>0</v>
      </c>
      <c r="S32" s="860">
        <f t="shared" si="2"/>
        <v>0</v>
      </c>
      <c r="T32" s="860">
        <f t="shared" si="3"/>
        <v>0</v>
      </c>
      <c r="U32" s="860">
        <f t="shared" si="4"/>
        <v>0</v>
      </c>
      <c r="V32" s="1033">
        <f t="shared" si="5"/>
        <v>0</v>
      </c>
      <c r="W32" s="368"/>
      <c r="X32" s="90"/>
    </row>
    <row r="33" spans="1:24">
      <c r="A33" s="1">
        <v>25</v>
      </c>
      <c r="B33" s="551"/>
      <c r="C33" s="1049"/>
      <c r="D33" s="552"/>
      <c r="E33" s="666"/>
      <c r="F33" s="558"/>
      <c r="G33" s="552"/>
      <c r="H33" s="857"/>
      <c r="I33" s="858">
        <f t="shared" si="6"/>
        <v>0</v>
      </c>
      <c r="O33" s="368"/>
      <c r="P33" s="90"/>
      <c r="Q33" s="1032">
        <f t="shared" si="0"/>
        <v>0</v>
      </c>
      <c r="R33" s="860">
        <f t="shared" si="1"/>
        <v>0</v>
      </c>
      <c r="S33" s="860">
        <f t="shared" si="2"/>
        <v>0</v>
      </c>
      <c r="T33" s="860">
        <f t="shared" si="3"/>
        <v>0</v>
      </c>
      <c r="U33" s="860">
        <f t="shared" si="4"/>
        <v>0</v>
      </c>
      <c r="V33" s="1033">
        <f t="shared" si="5"/>
        <v>0</v>
      </c>
      <c r="W33" s="368"/>
      <c r="X33" s="90"/>
    </row>
    <row r="34" spans="1:24">
      <c r="A34" s="1">
        <v>26</v>
      </c>
      <c r="B34" s="551"/>
      <c r="C34" s="1049"/>
      <c r="D34" s="552"/>
      <c r="E34" s="666"/>
      <c r="F34" s="558"/>
      <c r="G34" s="552"/>
      <c r="H34" s="857"/>
      <c r="I34" s="858">
        <f t="shared" si="6"/>
        <v>0</v>
      </c>
      <c r="O34" s="368"/>
      <c r="P34" s="90"/>
      <c r="Q34" s="1032">
        <f t="shared" si="0"/>
        <v>0</v>
      </c>
      <c r="R34" s="860">
        <f t="shared" si="1"/>
        <v>0</v>
      </c>
      <c r="S34" s="860">
        <f t="shared" si="2"/>
        <v>0</v>
      </c>
      <c r="T34" s="860">
        <f t="shared" si="3"/>
        <v>0</v>
      </c>
      <c r="U34" s="860">
        <f t="shared" si="4"/>
        <v>0</v>
      </c>
      <c r="V34" s="1033">
        <f t="shared" si="5"/>
        <v>0</v>
      </c>
      <c r="W34" s="368"/>
      <c r="X34" s="90"/>
    </row>
    <row r="35" spans="1:24">
      <c r="A35" s="1">
        <v>27</v>
      </c>
      <c r="B35" s="551"/>
      <c r="C35" s="1049"/>
      <c r="D35" s="552"/>
      <c r="E35" s="666"/>
      <c r="F35" s="558"/>
      <c r="G35" s="552"/>
      <c r="H35" s="857"/>
      <c r="I35" s="858">
        <f t="shared" si="6"/>
        <v>0</v>
      </c>
      <c r="O35" s="368"/>
      <c r="P35" s="90"/>
      <c r="Q35" s="1032">
        <f t="shared" si="0"/>
        <v>0</v>
      </c>
      <c r="R35" s="860">
        <f t="shared" si="1"/>
        <v>0</v>
      </c>
      <c r="S35" s="860">
        <f t="shared" si="2"/>
        <v>0</v>
      </c>
      <c r="T35" s="860">
        <f t="shared" si="3"/>
        <v>0</v>
      </c>
      <c r="U35" s="860">
        <f t="shared" si="4"/>
        <v>0</v>
      </c>
      <c r="V35" s="1033">
        <f t="shared" si="5"/>
        <v>0</v>
      </c>
      <c r="W35" s="368"/>
      <c r="X35" s="90"/>
    </row>
    <row r="36" spans="1:24">
      <c r="A36" s="1">
        <v>28</v>
      </c>
      <c r="B36" s="551"/>
      <c r="C36" s="1049"/>
      <c r="D36" s="552"/>
      <c r="E36" s="666"/>
      <c r="F36" s="558"/>
      <c r="G36" s="552"/>
      <c r="H36" s="857"/>
      <c r="I36" s="858">
        <f t="shared" si="6"/>
        <v>0</v>
      </c>
      <c r="O36" s="368"/>
      <c r="P36" s="90"/>
      <c r="Q36" s="1032">
        <f t="shared" si="0"/>
        <v>0</v>
      </c>
      <c r="R36" s="860">
        <f t="shared" si="1"/>
        <v>0</v>
      </c>
      <c r="S36" s="860">
        <f t="shared" si="2"/>
        <v>0</v>
      </c>
      <c r="T36" s="860">
        <f t="shared" si="3"/>
        <v>0</v>
      </c>
      <c r="U36" s="860">
        <f t="shared" si="4"/>
        <v>0</v>
      </c>
      <c r="V36" s="1033">
        <f t="shared" si="5"/>
        <v>0</v>
      </c>
      <c r="W36" s="368"/>
      <c r="X36" s="90"/>
    </row>
    <row r="37" spans="1:24">
      <c r="A37" s="1">
        <v>29</v>
      </c>
      <c r="B37" s="551"/>
      <c r="C37" s="1049"/>
      <c r="D37" s="552"/>
      <c r="E37" s="666"/>
      <c r="F37" s="558"/>
      <c r="G37" s="552"/>
      <c r="H37" s="857"/>
      <c r="I37" s="858">
        <f t="shared" si="6"/>
        <v>0</v>
      </c>
      <c r="O37" s="368"/>
      <c r="P37" s="90"/>
      <c r="Q37" s="1032">
        <f t="shared" si="0"/>
        <v>0</v>
      </c>
      <c r="R37" s="860">
        <f t="shared" si="1"/>
        <v>0</v>
      </c>
      <c r="S37" s="860">
        <f t="shared" si="2"/>
        <v>0</v>
      </c>
      <c r="T37" s="860">
        <f t="shared" si="3"/>
        <v>0</v>
      </c>
      <c r="U37" s="860">
        <f t="shared" si="4"/>
        <v>0</v>
      </c>
      <c r="V37" s="1033">
        <f t="shared" si="5"/>
        <v>0</v>
      </c>
      <c r="W37" s="368"/>
      <c r="X37" s="90"/>
    </row>
    <row r="38" spans="1:24">
      <c r="A38" s="1">
        <v>30</v>
      </c>
      <c r="B38" s="551"/>
      <c r="C38" s="1049"/>
      <c r="D38" s="552"/>
      <c r="E38" s="666"/>
      <c r="F38" s="558"/>
      <c r="G38" s="552"/>
      <c r="H38" s="857"/>
      <c r="I38" s="858">
        <f t="shared" si="6"/>
        <v>0</v>
      </c>
      <c r="O38" s="368"/>
      <c r="P38" s="90"/>
      <c r="Q38" s="1032">
        <f t="shared" si="0"/>
        <v>0</v>
      </c>
      <c r="R38" s="860">
        <f t="shared" si="1"/>
        <v>0</v>
      </c>
      <c r="S38" s="860">
        <f t="shared" si="2"/>
        <v>0</v>
      </c>
      <c r="T38" s="860">
        <f t="shared" si="3"/>
        <v>0</v>
      </c>
      <c r="U38" s="860">
        <f t="shared" si="4"/>
        <v>0</v>
      </c>
      <c r="V38" s="1033">
        <f t="shared" si="5"/>
        <v>0</v>
      </c>
      <c r="W38" s="368"/>
    </row>
    <row r="39" spans="1:24">
      <c r="A39" s="1">
        <v>31</v>
      </c>
      <c r="B39" s="551"/>
      <c r="C39" s="1049"/>
      <c r="D39" s="552"/>
      <c r="E39" s="666"/>
      <c r="F39" s="558"/>
      <c r="G39" s="552"/>
      <c r="H39" s="857"/>
      <c r="I39" s="858">
        <f t="shared" si="6"/>
        <v>0</v>
      </c>
      <c r="O39" s="368"/>
      <c r="P39" s="90"/>
      <c r="Q39" s="1032">
        <f t="shared" si="0"/>
        <v>0</v>
      </c>
      <c r="R39" s="860">
        <f t="shared" si="1"/>
        <v>0</v>
      </c>
      <c r="S39" s="860">
        <f t="shared" si="2"/>
        <v>0</v>
      </c>
      <c r="T39" s="860">
        <f t="shared" si="3"/>
        <v>0</v>
      </c>
      <c r="U39" s="860">
        <f t="shared" si="4"/>
        <v>0</v>
      </c>
      <c r="V39" s="1033">
        <f t="shared" si="5"/>
        <v>0</v>
      </c>
      <c r="W39" s="368"/>
    </row>
    <row r="40" spans="1:24">
      <c r="A40" s="1">
        <v>32</v>
      </c>
      <c r="B40" s="551"/>
      <c r="C40" s="1049"/>
      <c r="D40" s="552"/>
      <c r="E40" s="666"/>
      <c r="F40" s="558"/>
      <c r="G40" s="552"/>
      <c r="H40" s="857"/>
      <c r="I40" s="858">
        <f t="shared" si="6"/>
        <v>0</v>
      </c>
      <c r="O40" s="368"/>
      <c r="P40" s="90"/>
      <c r="Q40" s="1032">
        <f t="shared" si="0"/>
        <v>0</v>
      </c>
      <c r="R40" s="860">
        <f t="shared" si="1"/>
        <v>0</v>
      </c>
      <c r="S40" s="860">
        <f t="shared" si="2"/>
        <v>0</v>
      </c>
      <c r="T40" s="860">
        <f t="shared" si="3"/>
        <v>0</v>
      </c>
      <c r="U40" s="860">
        <f t="shared" si="4"/>
        <v>0</v>
      </c>
      <c r="V40" s="1033">
        <f t="shared" si="5"/>
        <v>0</v>
      </c>
      <c r="W40" s="368"/>
    </row>
    <row r="41" spans="1:24">
      <c r="A41" s="1">
        <v>33</v>
      </c>
      <c r="B41" s="551"/>
      <c r="C41" s="1049"/>
      <c r="D41" s="552"/>
      <c r="E41" s="666"/>
      <c r="F41" s="558"/>
      <c r="G41" s="552"/>
      <c r="H41" s="857"/>
      <c r="I41" s="858">
        <f t="shared" si="6"/>
        <v>0</v>
      </c>
      <c r="O41" s="368"/>
      <c r="P41" s="90"/>
      <c r="Q41" s="1032">
        <f t="shared" ref="Q41:Q58" si="7">IF($G41=0,0,IF(AND($G41=Q$8,$H41=0),$I41*$E41*VLOOKUP($C41,lookup_healthsystemlevels,Q$7,FALSE),IF(AND($G41=Q$8,$H41&gt;0),$I41*$E41*(VLOOKUP($C41,lookup_healthsystemlevels,Q$7,FALSE)),0)))</f>
        <v>0</v>
      </c>
      <c r="R41" s="860">
        <f t="shared" ref="R41:R58" si="8">IF($G41=0,0,IF($G41&gt;R$8,0,IF(AND($G41=R$8,$H41&gt;0),($I41*((1+inflation_rate)^P$7))*$E41*(VLOOKUP($C41,lookup_healthsystemlevels,R$7,FALSE)),IF(AND($G41=R$8,$H41=0),($I41*((1+inflation_rate)^P$7))*$E41*(VLOOKUP($C41,lookup_healthsystemlevels,R$7,FALSE)),IF(AND($G41&lt;R$8,$H41=0),($I41*((1+inflation_rate)^P$7))*$E41*(VLOOKUP($C41,lookup_healthsystemlevels,R$7,FALSE)),IF(AND($G41&lt;R$8,$H41=1),(($I41*((1+inflation_rate)^P$7))*$E41*(VLOOKUP($C41,lookup_healthsystemlevels,R$7,FALSE))),IF(AND($G41&lt;R$8,$G41+$H41=R$8),($I41*((1+inflation_rate)^P$7))*$E41*(VLOOKUP($C41,lookup_healthsystemlevels,R$7,FALSE)),IF(AND($G41&lt;R$8,$G41+(2*$H41)=R$8),($I41*((1+inflation_rate)^P$7))*$E41*(VLOOKUP($C41,lookup_healthsystemlevels,R$7,FALSE)),IF(AND($G41&lt;R$8,$G41+(3*$H41)=R$8),($I41*((1+inflation_rate)^P$7))*$E41*(VLOOKUP($C41,lookup_healthsystemlevels,R$7,FALSE)),IF(AND($G41&lt;R$8,$G41+(4*$H41)=R$8),($I41*((1+inflation_rate)^P$7))*$E41*(VLOOKUP($C41,lookup_healthsystemlevels,R$7,FALSE)),IF(AND($G41&lt;R$8,$G41+(5*$H41)=R$8),($I41*((1+inflation_rate)^P$7))*$E41*(VLOOKUP($C41,lookup_healthsystemlevels,R$7,FALSE)),0)))))))))))</f>
        <v>0</v>
      </c>
      <c r="S41" s="860">
        <f t="shared" ref="S41:S58" si="9">IF($G41=0,0,IF($G41&gt;S$8,0,IF(AND($G41=S$8,$H41&gt;0),($I41*((1+inflation_rate)^Q$7))*$E41*(VLOOKUP($C41,lookup_healthsystemlevels,S$7,FALSE)),IF(AND($G41=S$8,$H41=0),($I41*((1+inflation_rate)^Q$7))*$E41*(VLOOKUP($C41,lookup_healthsystemlevels,S$7,FALSE)),IF(AND($G41&lt;S$8,$H41=0),($I41*((1+inflation_rate)^Q$7))*$E41*(VLOOKUP($C41,lookup_healthsystemlevels,S$7,FALSE)),IF(AND($G41&lt;S$8,$H41=1),(($I41*((1+inflation_rate)^Q$7))*$E41*(VLOOKUP($C41,lookup_healthsystemlevels,S$7,FALSE))),IF(AND($G41&lt;S$8,$G41+$H41=S$8),($I41*((1+inflation_rate)^Q$7))*$E41*(VLOOKUP($C41,lookup_healthsystemlevels,S$7,FALSE)),IF(AND($G41&lt;S$8,$G41+(2*$H41)=S$8),($I41*((1+inflation_rate)^Q$7))*$E41*(VLOOKUP($C41,lookup_healthsystemlevels,S$7,FALSE)),IF(AND($G41&lt;S$8,$G41+(3*$H41)=S$8),($I41*((1+inflation_rate)^Q$7))*$E41*(VLOOKUP($C41,lookup_healthsystemlevels,S$7,FALSE)),IF(AND($G41&lt;S$8,$G41+(4*$H41)=S$8),($I41*((1+inflation_rate)^Q$7))*$E41*(VLOOKUP($C41,lookup_healthsystemlevels,S$7,FALSE)),IF(AND($G41&lt;S$8,$G41+(5*$H41)=S$8),($I41*((1+inflation_rate)^Q$7))*$E41*(VLOOKUP($C41,lookup_healthsystemlevels,S$7,FALSE)),0)))))))))))</f>
        <v>0</v>
      </c>
      <c r="T41" s="860">
        <f t="shared" ref="T41:T58" si="10">IF($G41=0,0,IF($G41&gt;T$8,0,IF(AND($G41=T$8,$H41&gt;0),($I41*((1+inflation_rate)^R$7))*$E41*(VLOOKUP($C41,lookup_healthsystemlevels,T$7,FALSE)),IF(AND($G41=T$8,$H41=0),($I41*((1+inflation_rate)^R$7))*$E41*(VLOOKUP($C41,lookup_healthsystemlevels,T$7,FALSE)),IF(AND($G41&lt;T$8,$H41=0),($I41*((1+inflation_rate)^R$7))*$E41*(VLOOKUP($C41,lookup_healthsystemlevels,T$7,FALSE)),IF(AND($G41&lt;T$8,$H41=1),(($I41*((1+inflation_rate)^R$7))*$E41*(VLOOKUP($C41,lookup_healthsystemlevels,T$7,FALSE))),IF(AND($G41&lt;T$8,$G41+$H41=T$8),($I41*((1+inflation_rate)^R$7))*$E41*(VLOOKUP($C41,lookup_healthsystemlevels,T$7,FALSE)),IF(AND($G41&lt;T$8,$G41+(2*$H41)=T$8),($I41*((1+inflation_rate)^R$7))*$E41*(VLOOKUP($C41,lookup_healthsystemlevels,T$7,FALSE)),IF(AND($G41&lt;T$8,$G41+(3*$H41)=T$8),($I41*((1+inflation_rate)^R$7))*$E41*(VLOOKUP($C41,lookup_healthsystemlevels,T$7,FALSE)),IF(AND($G41&lt;T$8,$G41+(4*$H41)=T$8),($I41*((1+inflation_rate)^R$7))*$E41*(VLOOKUP($C41,lookup_healthsystemlevels,T$7,FALSE)),IF(AND($G41&lt;T$8,$G41+(5*$H41)=T$8),($I41*((1+inflation_rate)^R$7))*$E41*(VLOOKUP($C41,lookup_healthsystemlevels,T$7,FALSE)),0)))))))))))</f>
        <v>0</v>
      </c>
      <c r="U41" s="860">
        <f t="shared" ref="U41:U58" si="11">IF($G41=0,0,IF($G41&gt;U$8,0,IF(AND($G41=U$8,$H41&gt;0),($I41*((1+inflation_rate)^S$7))*$E41*(VLOOKUP($C41,lookup_healthsystemlevels,U$7,FALSE)),IF(AND($G41=U$8,$H41=0),($I41*((1+inflation_rate)^S$7))*$E41*(VLOOKUP($C41,lookup_healthsystemlevels,U$7,FALSE)),IF(AND($G41&lt;U$8,$H41=0),($I41*((1+inflation_rate)^S$7))*$E41*(VLOOKUP($C41,lookup_healthsystemlevels,U$7,FALSE)),IF(AND($G41&lt;U$8,$H41=1),(($I41*((1+inflation_rate)^S$7))*$E41*(VLOOKUP($C41,lookup_healthsystemlevels,U$7,FALSE))),IF(AND($G41&lt;U$8,$G41+$H41=U$8),($I41*((1+inflation_rate)^S$7))*$E41*(VLOOKUP($C41,lookup_healthsystemlevels,U$7,FALSE)),IF(AND($G41&lt;U$8,$G41+(2*$H41)=U$8),($I41*((1+inflation_rate)^S$7))*$E41*(VLOOKUP($C41,lookup_healthsystemlevels,U$7,FALSE)),IF(AND($G41&lt;U$8,$G41+(3*$H41)=U$8),($I41*((1+inflation_rate)^S$7))*$E41*(VLOOKUP($C41,lookup_healthsystemlevels,U$7,FALSE)),IF(AND($G41&lt;U$8,$G41+(4*$H41)=U$8),($I41*((1+inflation_rate)^S$7))*$E41*(VLOOKUP($C41,lookup_healthsystemlevels,U$7,FALSE)),IF(AND($G41&lt;U$8,$G41+(5*$H41)=U$8),($I41*((1+inflation_rate)^S$7))*$E41*(VLOOKUP($C41,lookup_healthsystemlevels,U$7,FALSE)),0)))))))))))</f>
        <v>0</v>
      </c>
      <c r="V41" s="1033">
        <f t="shared" ref="V41:V58" si="12">IF($G41=0,0,IF($G41&gt;V$8,0,IF(AND($G41=V$8,$H41&gt;0),($I41*((1+inflation_rate)^T$7))*$E41*(VLOOKUP($C41,lookup_healthsystemlevels,V$7,FALSE)),IF(AND($G41=V$8,$H41=0),($I41*((1+inflation_rate)^T$7))*$E41*(VLOOKUP($C41,lookup_healthsystemlevels,V$7,FALSE)),IF(AND($G41&lt;V$8,$H41=0),($I41*((1+inflation_rate)^T$7))*$E41*(VLOOKUP($C41,lookup_healthsystemlevels,V$7,FALSE)),IF(AND($G41&lt;V$8,$H41=1),(($I41*((1+inflation_rate)^T$7))*$E41*(VLOOKUP($C41,lookup_healthsystemlevels,V$7,FALSE))),IF(AND($G41&lt;V$8,$G41+$H41=V$8),($I41*((1+inflation_rate)^T$7))*$E41*(VLOOKUP($C41,lookup_healthsystemlevels,V$7,FALSE)),IF(AND($G41&lt;V$8,$G41+(2*$H41)=V$8),($I41*((1+inflation_rate)^T$7))*$E41*(VLOOKUP($C41,lookup_healthsystemlevels,V$7,FALSE)),IF(AND($G41&lt;V$8,$G41+(3*$H41)=V$8),($I41*((1+inflation_rate)^T$7))*$E41*(VLOOKUP($C41,lookup_healthsystemlevels,V$7,FALSE)),IF(AND($G41&lt;V$8,$G41+(4*$H41)=V$8),($I41*((1+inflation_rate)^T$7))*$E41*(VLOOKUP($C41,lookup_healthsystemlevels,V$7,FALSE)),IF(AND($G41&lt;V$8,$G41+(5*$H41)=V$8),($I41*((1+inflation_rate)^T$7))*$E41*(VLOOKUP($C41,lookup_healthsystemlevels,V$7,FALSE)),0)))))))))))</f>
        <v>0</v>
      </c>
      <c r="W41" s="368"/>
    </row>
    <row r="42" spans="1:24">
      <c r="A42" s="1">
        <v>34</v>
      </c>
      <c r="B42" s="551"/>
      <c r="C42" s="1049"/>
      <c r="D42" s="552"/>
      <c r="E42" s="666"/>
      <c r="F42" s="558"/>
      <c r="G42" s="552"/>
      <c r="H42" s="857"/>
      <c r="I42" s="858">
        <f t="shared" ref="I42:I58" si="13">E42*F42</f>
        <v>0</v>
      </c>
      <c r="O42" s="368"/>
      <c r="P42" s="90"/>
      <c r="Q42" s="1032">
        <f t="shared" si="7"/>
        <v>0</v>
      </c>
      <c r="R42" s="860">
        <f t="shared" si="8"/>
        <v>0</v>
      </c>
      <c r="S42" s="860">
        <f t="shared" si="9"/>
        <v>0</v>
      </c>
      <c r="T42" s="860">
        <f t="shared" si="10"/>
        <v>0</v>
      </c>
      <c r="U42" s="860">
        <f t="shared" si="11"/>
        <v>0</v>
      </c>
      <c r="V42" s="1033">
        <f t="shared" si="12"/>
        <v>0</v>
      </c>
      <c r="W42" s="368"/>
    </row>
    <row r="43" spans="1:24">
      <c r="A43" s="1">
        <v>35</v>
      </c>
      <c r="B43" s="551"/>
      <c r="C43" s="1049"/>
      <c r="D43" s="552"/>
      <c r="E43" s="666"/>
      <c r="F43" s="558"/>
      <c r="G43" s="552"/>
      <c r="H43" s="857"/>
      <c r="I43" s="858">
        <f t="shared" si="13"/>
        <v>0</v>
      </c>
      <c r="O43" s="368"/>
      <c r="P43" s="90"/>
      <c r="Q43" s="1032">
        <f t="shared" si="7"/>
        <v>0</v>
      </c>
      <c r="R43" s="860">
        <f t="shared" si="8"/>
        <v>0</v>
      </c>
      <c r="S43" s="860">
        <f t="shared" si="9"/>
        <v>0</v>
      </c>
      <c r="T43" s="860">
        <f t="shared" si="10"/>
        <v>0</v>
      </c>
      <c r="U43" s="860">
        <f t="shared" si="11"/>
        <v>0</v>
      </c>
      <c r="V43" s="1033">
        <f t="shared" si="12"/>
        <v>0</v>
      </c>
      <c r="W43" s="368"/>
    </row>
    <row r="44" spans="1:24">
      <c r="A44" s="1">
        <v>36</v>
      </c>
      <c r="B44" s="551"/>
      <c r="C44" s="1049"/>
      <c r="D44" s="552"/>
      <c r="E44" s="666"/>
      <c r="F44" s="558"/>
      <c r="G44" s="552"/>
      <c r="H44" s="857"/>
      <c r="I44" s="858">
        <f t="shared" si="13"/>
        <v>0</v>
      </c>
      <c r="O44" s="368"/>
      <c r="P44" s="90"/>
      <c r="Q44" s="1032">
        <f t="shared" si="7"/>
        <v>0</v>
      </c>
      <c r="R44" s="860">
        <f t="shared" si="8"/>
        <v>0</v>
      </c>
      <c r="S44" s="860">
        <f t="shared" si="9"/>
        <v>0</v>
      </c>
      <c r="T44" s="860">
        <f t="shared" si="10"/>
        <v>0</v>
      </c>
      <c r="U44" s="860">
        <f t="shared" si="11"/>
        <v>0</v>
      </c>
      <c r="V44" s="1033">
        <f t="shared" si="12"/>
        <v>0</v>
      </c>
      <c r="W44" s="368"/>
    </row>
    <row r="45" spans="1:24">
      <c r="A45" s="1">
        <v>37</v>
      </c>
      <c r="B45" s="551"/>
      <c r="C45" s="1049"/>
      <c r="D45" s="552"/>
      <c r="E45" s="666"/>
      <c r="F45" s="558"/>
      <c r="G45" s="552"/>
      <c r="H45" s="857"/>
      <c r="I45" s="858">
        <f t="shared" si="13"/>
        <v>0</v>
      </c>
      <c r="O45" s="368"/>
      <c r="P45" s="90"/>
      <c r="Q45" s="1032">
        <f t="shared" si="7"/>
        <v>0</v>
      </c>
      <c r="R45" s="860">
        <f t="shared" si="8"/>
        <v>0</v>
      </c>
      <c r="S45" s="860">
        <f t="shared" si="9"/>
        <v>0</v>
      </c>
      <c r="T45" s="860">
        <f t="shared" si="10"/>
        <v>0</v>
      </c>
      <c r="U45" s="860">
        <f t="shared" si="11"/>
        <v>0</v>
      </c>
      <c r="V45" s="1033">
        <f t="shared" si="12"/>
        <v>0</v>
      </c>
      <c r="W45" s="368"/>
    </row>
    <row r="46" spans="1:24">
      <c r="A46" s="1">
        <v>38</v>
      </c>
      <c r="B46" s="551"/>
      <c r="C46" s="1049"/>
      <c r="D46" s="552"/>
      <c r="E46" s="666"/>
      <c r="F46" s="558"/>
      <c r="G46" s="552"/>
      <c r="H46" s="857"/>
      <c r="I46" s="858">
        <f t="shared" si="13"/>
        <v>0</v>
      </c>
      <c r="O46" s="368"/>
      <c r="P46" s="90"/>
      <c r="Q46" s="1032">
        <f t="shared" si="7"/>
        <v>0</v>
      </c>
      <c r="R46" s="860">
        <f t="shared" si="8"/>
        <v>0</v>
      </c>
      <c r="S46" s="860">
        <f t="shared" si="9"/>
        <v>0</v>
      </c>
      <c r="T46" s="860">
        <f t="shared" si="10"/>
        <v>0</v>
      </c>
      <c r="U46" s="860">
        <f t="shared" si="11"/>
        <v>0</v>
      </c>
      <c r="V46" s="1033">
        <f t="shared" si="12"/>
        <v>0</v>
      </c>
      <c r="W46" s="368"/>
    </row>
    <row r="47" spans="1:24">
      <c r="A47" s="1">
        <v>39</v>
      </c>
      <c r="B47" s="551"/>
      <c r="C47" s="1049"/>
      <c r="D47" s="552"/>
      <c r="E47" s="666"/>
      <c r="F47" s="558"/>
      <c r="G47" s="552"/>
      <c r="H47" s="857"/>
      <c r="I47" s="858">
        <f t="shared" si="13"/>
        <v>0</v>
      </c>
      <c r="O47" s="368"/>
      <c r="P47" s="90"/>
      <c r="Q47" s="1032">
        <f t="shared" si="7"/>
        <v>0</v>
      </c>
      <c r="R47" s="860">
        <f t="shared" si="8"/>
        <v>0</v>
      </c>
      <c r="S47" s="860">
        <f t="shared" si="9"/>
        <v>0</v>
      </c>
      <c r="T47" s="860">
        <f t="shared" si="10"/>
        <v>0</v>
      </c>
      <c r="U47" s="860">
        <f t="shared" si="11"/>
        <v>0</v>
      </c>
      <c r="V47" s="1033">
        <f t="shared" si="12"/>
        <v>0</v>
      </c>
      <c r="W47" s="368"/>
    </row>
    <row r="48" spans="1:24">
      <c r="A48" s="1">
        <v>40</v>
      </c>
      <c r="B48" s="551"/>
      <c r="C48" s="1049"/>
      <c r="D48" s="552"/>
      <c r="E48" s="666"/>
      <c r="F48" s="558"/>
      <c r="G48" s="552"/>
      <c r="H48" s="857"/>
      <c r="I48" s="858">
        <f t="shared" si="13"/>
        <v>0</v>
      </c>
      <c r="O48" s="368"/>
      <c r="P48" s="90"/>
      <c r="Q48" s="1032">
        <f t="shared" si="7"/>
        <v>0</v>
      </c>
      <c r="R48" s="860">
        <f t="shared" si="8"/>
        <v>0</v>
      </c>
      <c r="S48" s="860">
        <f t="shared" si="9"/>
        <v>0</v>
      </c>
      <c r="T48" s="860">
        <f t="shared" si="10"/>
        <v>0</v>
      </c>
      <c r="U48" s="860">
        <f t="shared" si="11"/>
        <v>0</v>
      </c>
      <c r="V48" s="1033">
        <f t="shared" si="12"/>
        <v>0</v>
      </c>
      <c r="W48" s="368"/>
    </row>
    <row r="49" spans="1:23">
      <c r="A49" s="1">
        <v>41</v>
      </c>
      <c r="B49" s="551"/>
      <c r="C49" s="1049"/>
      <c r="D49" s="552"/>
      <c r="E49" s="666"/>
      <c r="F49" s="558"/>
      <c r="G49" s="552"/>
      <c r="H49" s="857"/>
      <c r="I49" s="858">
        <f t="shared" si="13"/>
        <v>0</v>
      </c>
      <c r="O49" s="368"/>
      <c r="P49" s="90"/>
      <c r="Q49" s="1032">
        <f t="shared" si="7"/>
        <v>0</v>
      </c>
      <c r="R49" s="860">
        <f t="shared" si="8"/>
        <v>0</v>
      </c>
      <c r="S49" s="860">
        <f t="shared" si="9"/>
        <v>0</v>
      </c>
      <c r="T49" s="860">
        <f t="shared" si="10"/>
        <v>0</v>
      </c>
      <c r="U49" s="860">
        <f t="shared" si="11"/>
        <v>0</v>
      </c>
      <c r="V49" s="1033">
        <f t="shared" si="12"/>
        <v>0</v>
      </c>
      <c r="W49" s="368"/>
    </row>
    <row r="50" spans="1:23">
      <c r="A50" s="1">
        <v>42</v>
      </c>
      <c r="B50" s="551"/>
      <c r="C50" s="1049"/>
      <c r="D50" s="552"/>
      <c r="E50" s="666"/>
      <c r="F50" s="558"/>
      <c r="G50" s="552"/>
      <c r="H50" s="857"/>
      <c r="I50" s="858">
        <f t="shared" si="13"/>
        <v>0</v>
      </c>
      <c r="O50" s="368"/>
      <c r="P50" s="90"/>
      <c r="Q50" s="1032">
        <f t="shared" si="7"/>
        <v>0</v>
      </c>
      <c r="R50" s="860">
        <f t="shared" si="8"/>
        <v>0</v>
      </c>
      <c r="S50" s="860">
        <f t="shared" si="9"/>
        <v>0</v>
      </c>
      <c r="T50" s="860">
        <f t="shared" si="10"/>
        <v>0</v>
      </c>
      <c r="U50" s="860">
        <f t="shared" si="11"/>
        <v>0</v>
      </c>
      <c r="V50" s="1033">
        <f t="shared" si="12"/>
        <v>0</v>
      </c>
      <c r="W50" s="368"/>
    </row>
    <row r="51" spans="1:23">
      <c r="A51" s="1">
        <v>43</v>
      </c>
      <c r="B51" s="551"/>
      <c r="C51" s="1049"/>
      <c r="D51" s="552"/>
      <c r="E51" s="666"/>
      <c r="F51" s="558"/>
      <c r="G51" s="552"/>
      <c r="H51" s="857"/>
      <c r="I51" s="858">
        <f t="shared" si="13"/>
        <v>0</v>
      </c>
      <c r="O51" s="368"/>
      <c r="P51" s="90"/>
      <c r="Q51" s="1032">
        <f t="shared" si="7"/>
        <v>0</v>
      </c>
      <c r="R51" s="860">
        <f t="shared" si="8"/>
        <v>0</v>
      </c>
      <c r="S51" s="860">
        <f t="shared" si="9"/>
        <v>0</v>
      </c>
      <c r="T51" s="860">
        <f t="shared" si="10"/>
        <v>0</v>
      </c>
      <c r="U51" s="860">
        <f t="shared" si="11"/>
        <v>0</v>
      </c>
      <c r="V51" s="1033">
        <f t="shared" si="12"/>
        <v>0</v>
      </c>
      <c r="W51" s="368"/>
    </row>
    <row r="52" spans="1:23">
      <c r="A52" s="1">
        <v>44</v>
      </c>
      <c r="B52" s="551"/>
      <c r="C52" s="1049"/>
      <c r="D52" s="552"/>
      <c r="E52" s="666"/>
      <c r="F52" s="558"/>
      <c r="G52" s="552"/>
      <c r="H52" s="857"/>
      <c r="I52" s="858">
        <f t="shared" si="13"/>
        <v>0</v>
      </c>
      <c r="O52" s="368"/>
      <c r="P52" s="90"/>
      <c r="Q52" s="1032">
        <f t="shared" si="7"/>
        <v>0</v>
      </c>
      <c r="R52" s="860">
        <f t="shared" si="8"/>
        <v>0</v>
      </c>
      <c r="S52" s="860">
        <f t="shared" si="9"/>
        <v>0</v>
      </c>
      <c r="T52" s="860">
        <f t="shared" si="10"/>
        <v>0</v>
      </c>
      <c r="U52" s="860">
        <f t="shared" si="11"/>
        <v>0</v>
      </c>
      <c r="V52" s="1033">
        <f t="shared" si="12"/>
        <v>0</v>
      </c>
      <c r="W52" s="368"/>
    </row>
    <row r="53" spans="1:23">
      <c r="A53" s="1">
        <v>45</v>
      </c>
      <c r="B53" s="551"/>
      <c r="C53" s="1049"/>
      <c r="D53" s="552"/>
      <c r="E53" s="666"/>
      <c r="F53" s="558"/>
      <c r="G53" s="552"/>
      <c r="H53" s="857"/>
      <c r="I53" s="858">
        <f t="shared" si="13"/>
        <v>0</v>
      </c>
      <c r="O53" s="368"/>
      <c r="P53" s="90"/>
      <c r="Q53" s="1032">
        <f t="shared" si="7"/>
        <v>0</v>
      </c>
      <c r="R53" s="860">
        <f t="shared" si="8"/>
        <v>0</v>
      </c>
      <c r="S53" s="860">
        <f t="shared" si="9"/>
        <v>0</v>
      </c>
      <c r="T53" s="860">
        <f t="shared" si="10"/>
        <v>0</v>
      </c>
      <c r="U53" s="860">
        <f t="shared" si="11"/>
        <v>0</v>
      </c>
      <c r="V53" s="1033">
        <f t="shared" si="12"/>
        <v>0</v>
      </c>
      <c r="W53" s="368"/>
    </row>
    <row r="54" spans="1:23">
      <c r="A54" s="1">
        <v>46</v>
      </c>
      <c r="B54" s="551"/>
      <c r="C54" s="1049"/>
      <c r="D54" s="552"/>
      <c r="E54" s="666"/>
      <c r="F54" s="558"/>
      <c r="G54" s="552"/>
      <c r="H54" s="857"/>
      <c r="I54" s="858">
        <f t="shared" si="13"/>
        <v>0</v>
      </c>
      <c r="O54" s="368"/>
      <c r="P54" s="90"/>
      <c r="Q54" s="1032">
        <f t="shared" si="7"/>
        <v>0</v>
      </c>
      <c r="R54" s="860">
        <f t="shared" si="8"/>
        <v>0</v>
      </c>
      <c r="S54" s="860">
        <f t="shared" si="9"/>
        <v>0</v>
      </c>
      <c r="T54" s="860">
        <f t="shared" si="10"/>
        <v>0</v>
      </c>
      <c r="U54" s="860">
        <f t="shared" si="11"/>
        <v>0</v>
      </c>
      <c r="V54" s="1033">
        <f t="shared" si="12"/>
        <v>0</v>
      </c>
      <c r="W54" s="368"/>
    </row>
    <row r="55" spans="1:23">
      <c r="A55" s="1">
        <v>47</v>
      </c>
      <c r="B55" s="551"/>
      <c r="C55" s="1049"/>
      <c r="D55" s="552"/>
      <c r="E55" s="666"/>
      <c r="F55" s="558"/>
      <c r="G55" s="552"/>
      <c r="H55" s="857"/>
      <c r="I55" s="858">
        <f t="shared" si="13"/>
        <v>0</v>
      </c>
      <c r="O55" s="368"/>
      <c r="P55" s="90"/>
      <c r="Q55" s="1032">
        <f t="shared" si="7"/>
        <v>0</v>
      </c>
      <c r="R55" s="860">
        <f t="shared" si="8"/>
        <v>0</v>
      </c>
      <c r="S55" s="860">
        <f t="shared" si="9"/>
        <v>0</v>
      </c>
      <c r="T55" s="860">
        <f t="shared" si="10"/>
        <v>0</v>
      </c>
      <c r="U55" s="860">
        <f t="shared" si="11"/>
        <v>0</v>
      </c>
      <c r="V55" s="1033">
        <f t="shared" si="12"/>
        <v>0</v>
      </c>
      <c r="W55" s="368"/>
    </row>
    <row r="56" spans="1:23">
      <c r="A56" s="1">
        <v>48</v>
      </c>
      <c r="B56" s="551"/>
      <c r="C56" s="1049"/>
      <c r="D56" s="552"/>
      <c r="E56" s="666"/>
      <c r="F56" s="558"/>
      <c r="G56" s="552"/>
      <c r="H56" s="857"/>
      <c r="I56" s="858">
        <f t="shared" si="13"/>
        <v>0</v>
      </c>
      <c r="O56" s="368"/>
      <c r="P56" s="90"/>
      <c r="Q56" s="1032">
        <f t="shared" si="7"/>
        <v>0</v>
      </c>
      <c r="R56" s="860">
        <f t="shared" si="8"/>
        <v>0</v>
      </c>
      <c r="S56" s="860">
        <f t="shared" si="9"/>
        <v>0</v>
      </c>
      <c r="T56" s="860">
        <f t="shared" si="10"/>
        <v>0</v>
      </c>
      <c r="U56" s="860">
        <f t="shared" si="11"/>
        <v>0</v>
      </c>
      <c r="V56" s="1033">
        <f t="shared" si="12"/>
        <v>0</v>
      </c>
      <c r="W56" s="368"/>
    </row>
    <row r="57" spans="1:23">
      <c r="A57" s="1">
        <v>49</v>
      </c>
      <c r="B57" s="551"/>
      <c r="C57" s="1049"/>
      <c r="D57" s="552"/>
      <c r="E57" s="666"/>
      <c r="F57" s="558"/>
      <c r="G57" s="552"/>
      <c r="H57" s="857"/>
      <c r="I57" s="858">
        <f t="shared" si="13"/>
        <v>0</v>
      </c>
      <c r="O57" s="368"/>
      <c r="P57" s="90"/>
      <c r="Q57" s="1032">
        <f t="shared" si="7"/>
        <v>0</v>
      </c>
      <c r="R57" s="860">
        <f t="shared" si="8"/>
        <v>0</v>
      </c>
      <c r="S57" s="860">
        <f t="shared" si="9"/>
        <v>0</v>
      </c>
      <c r="T57" s="860">
        <f t="shared" si="10"/>
        <v>0</v>
      </c>
      <c r="U57" s="860">
        <f t="shared" si="11"/>
        <v>0</v>
      </c>
      <c r="V57" s="1033">
        <f t="shared" si="12"/>
        <v>0</v>
      </c>
      <c r="W57" s="368"/>
    </row>
    <row r="58" spans="1:23">
      <c r="A58" s="1">
        <v>50</v>
      </c>
      <c r="B58" s="559"/>
      <c r="C58" s="1050"/>
      <c r="D58" s="560"/>
      <c r="E58" s="1024"/>
      <c r="F58" s="561"/>
      <c r="G58" s="560"/>
      <c r="H58" s="864"/>
      <c r="I58" s="865">
        <f t="shared" si="13"/>
        <v>0</v>
      </c>
      <c r="O58" s="368"/>
      <c r="P58" s="90"/>
      <c r="Q58" s="1034">
        <f t="shared" si="7"/>
        <v>0</v>
      </c>
      <c r="R58" s="1035">
        <f t="shared" si="8"/>
        <v>0</v>
      </c>
      <c r="S58" s="1035">
        <f t="shared" si="9"/>
        <v>0</v>
      </c>
      <c r="T58" s="1035">
        <f t="shared" si="10"/>
        <v>0</v>
      </c>
      <c r="U58" s="1035">
        <f t="shared" si="11"/>
        <v>0</v>
      </c>
      <c r="V58" s="1036">
        <f t="shared" si="12"/>
        <v>0</v>
      </c>
      <c r="W58" s="368"/>
    </row>
    <row r="59" spans="1:23">
      <c r="C59" s="535"/>
      <c r="I59" s="534"/>
      <c r="P59" s="90"/>
      <c r="Q59" s="368"/>
      <c r="R59" s="368"/>
      <c r="S59" s="368"/>
      <c r="T59" s="368"/>
      <c r="U59" s="368"/>
      <c r="V59" s="368"/>
    </row>
    <row r="60" spans="1:23" ht="25.05" customHeight="1">
      <c r="P60" s="90"/>
      <c r="Q60" s="869">
        <f t="shared" ref="Q60:V60" si="14">SUM(Q9:Q58)</f>
        <v>0</v>
      </c>
      <c r="R60" s="870">
        <f t="shared" si="14"/>
        <v>0</v>
      </c>
      <c r="S60" s="870">
        <f t="shared" si="14"/>
        <v>0</v>
      </c>
      <c r="T60" s="870">
        <f t="shared" si="14"/>
        <v>0</v>
      </c>
      <c r="U60" s="870">
        <f t="shared" si="14"/>
        <v>0</v>
      </c>
      <c r="V60" s="871">
        <f t="shared" si="14"/>
        <v>0</v>
      </c>
    </row>
    <row r="61" spans="1:23">
      <c r="P61" s="90"/>
      <c r="Q61" s="368"/>
      <c r="R61" s="368"/>
      <c r="S61" s="368"/>
      <c r="T61" s="368"/>
      <c r="U61" s="368"/>
      <c r="V61" s="368"/>
    </row>
  </sheetData>
  <dataValidations count="5">
    <dataValidation type="list" allowBlank="1" showInputMessage="1" showErrorMessage="1" sqref="C9:C58">
      <formula1>healthsystem_levels</formula1>
    </dataValidation>
    <dataValidation type="list" allowBlank="1" showInputMessage="1" showErrorMessage="1" sqref="G9:G58">
      <formula1>year_dropdown</formula1>
    </dataValidation>
    <dataValidation type="list" allowBlank="1" showInputMessage="1" showErrorMessage="1" sqref="C9:C58">
      <formula1>"Start-up,Capital"</formula1>
    </dataValidation>
    <dataValidation type="list" allowBlank="1" showInputMessage="1" showErrorMessage="1" sqref="H9:H58">
      <formula1>"0,1,2,3,4,5"</formula1>
    </dataValidation>
    <dataValidation type="list" allowBlank="1" showInputMessage="1" showErrorMessage="1" sqref="D9:D58">
      <formula1>program_list</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79998168889431442"/>
  </sheetPr>
  <dimension ref="A1:L110"/>
  <sheetViews>
    <sheetView showGridLines="0" topLeftCell="A2" zoomScale="90" zoomScaleNormal="90" workbookViewId="0">
      <selection activeCell="G8" sqref="G8"/>
    </sheetView>
  </sheetViews>
  <sheetFormatPr baseColWidth="10" defaultColWidth="8.77734375" defaultRowHeight="14.4"/>
  <cols>
    <col min="1" max="1" width="4.21875" style="3" customWidth="1"/>
    <col min="2" max="2" width="33.77734375" style="3" customWidth="1"/>
    <col min="3" max="3" width="25.6640625" style="3" customWidth="1"/>
    <col min="4" max="5" width="24.77734375" style="3" customWidth="1"/>
    <col min="6" max="6" width="47.77734375" style="3" customWidth="1"/>
    <col min="7" max="7" width="46.21875" style="3" customWidth="1"/>
    <col min="8" max="8" width="45.77734375" style="3" customWidth="1"/>
    <col min="9" max="12" width="8.77734375" style="3"/>
    <col min="13" max="13" width="13" style="3" bestFit="1" customWidth="1"/>
    <col min="14" max="14" width="12.77734375" style="3" customWidth="1"/>
    <col min="15" max="25" width="9.21875" style="3" bestFit="1" customWidth="1"/>
    <col min="26" max="16384" width="8.77734375" style="3"/>
  </cols>
  <sheetData>
    <row r="1" spans="1:12" s="419" customFormat="1" ht="24" customHeight="1">
      <c r="A1" s="314" t="s">
        <v>1452</v>
      </c>
      <c r="J1" s="487"/>
      <c r="K1" s="488"/>
      <c r="L1" s="488"/>
    </row>
    <row r="2" spans="1:12" s="453" customFormat="1" ht="18">
      <c r="A2" s="50">
        <f>selected_country</f>
        <v>0</v>
      </c>
      <c r="J2" s="489"/>
      <c r="K2" s="490"/>
      <c r="L2" s="490"/>
    </row>
    <row r="4" spans="1:12">
      <c r="B4" s="4"/>
      <c r="C4" s="4"/>
      <c r="D4" s="4"/>
      <c r="E4" s="18" t="s">
        <v>1334</v>
      </c>
      <c r="F4" s="916"/>
    </row>
    <row r="5" spans="1:12">
      <c r="B5" s="4"/>
      <c r="C5" s="4"/>
      <c r="D5" s="4"/>
      <c r="E5" s="4"/>
      <c r="F5" s="4"/>
      <c r="G5" s="4"/>
    </row>
    <row r="6" spans="1:12">
      <c r="B6" s="18" t="s">
        <v>1361</v>
      </c>
      <c r="C6" s="335"/>
      <c r="D6" s="335"/>
      <c r="E6" s="335"/>
      <c r="F6" s="917"/>
    </row>
    <row r="7" spans="1:12">
      <c r="B7" s="4"/>
      <c r="C7" s="4"/>
      <c r="D7" s="4"/>
      <c r="E7" s="4"/>
      <c r="G7" s="4"/>
    </row>
    <row r="9" spans="1:12">
      <c r="B9" s="877" t="s">
        <v>1350</v>
      </c>
      <c r="C9" s="878" t="s">
        <v>1486</v>
      </c>
      <c r="D9" s="878" t="str">
        <f>"Unit Cost without Markup ("&amp;currency_enter&amp;")"</f>
        <v>Unit Cost without Markup ()</v>
      </c>
      <c r="E9" s="878" t="str">
        <f>"Unit Cost + Markup ("&amp;currency_enter&amp;")"</f>
        <v>Unit Cost + Markup ()</v>
      </c>
      <c r="F9" s="918" t="s">
        <v>1383</v>
      </c>
    </row>
    <row r="10" spans="1:12">
      <c r="B10" s="919"/>
      <c r="C10" s="64"/>
      <c r="D10" s="759"/>
      <c r="E10" s="64"/>
      <c r="F10" s="920"/>
    </row>
    <row r="11" spans="1:12">
      <c r="A11" s="921">
        <v>1</v>
      </c>
      <c r="B11" s="536"/>
      <c r="C11" s="537"/>
      <c r="D11" s="922"/>
      <c r="E11" s="923">
        <f>+D11*(1+device_markup)</f>
        <v>0</v>
      </c>
      <c r="F11" s="924"/>
    </row>
    <row r="12" spans="1:12">
      <c r="A12" s="921">
        <v>2</v>
      </c>
      <c r="B12" s="551"/>
      <c r="C12" s="552"/>
      <c r="D12" s="925"/>
      <c r="E12" s="926">
        <f t="shared" ref="E12:E46" si="0">+D12*(1+device_markup)</f>
        <v>0</v>
      </c>
      <c r="F12" s="927"/>
    </row>
    <row r="13" spans="1:12">
      <c r="A13" s="921">
        <v>3</v>
      </c>
      <c r="B13" s="551"/>
      <c r="C13" s="552"/>
      <c r="D13" s="925"/>
      <c r="E13" s="926">
        <f>+D13*(1+device_markup)</f>
        <v>0</v>
      </c>
      <c r="F13" s="927"/>
    </row>
    <row r="14" spans="1:12">
      <c r="A14" s="921">
        <v>4</v>
      </c>
      <c r="B14" s="551"/>
      <c r="C14" s="552"/>
      <c r="D14" s="925"/>
      <c r="E14" s="926">
        <f t="shared" si="0"/>
        <v>0</v>
      </c>
      <c r="F14" s="927"/>
    </row>
    <row r="15" spans="1:12">
      <c r="A15" s="921">
        <v>5</v>
      </c>
      <c r="B15" s="551"/>
      <c r="C15" s="552"/>
      <c r="D15" s="925"/>
      <c r="E15" s="926">
        <f>+D15*(1+device_markup)</f>
        <v>0</v>
      </c>
      <c r="F15" s="927"/>
    </row>
    <row r="16" spans="1:12">
      <c r="A16" s="921">
        <v>6</v>
      </c>
      <c r="B16" s="551"/>
      <c r="C16" s="552"/>
      <c r="D16" s="925"/>
      <c r="E16" s="926">
        <f>+D16*(1+device_markup)</f>
        <v>0</v>
      </c>
      <c r="F16" s="927"/>
    </row>
    <row r="17" spans="1:8">
      <c r="A17" s="921">
        <v>7</v>
      </c>
      <c r="B17" s="551"/>
      <c r="C17" s="552"/>
      <c r="D17" s="925"/>
      <c r="E17" s="926">
        <f t="shared" si="0"/>
        <v>0</v>
      </c>
      <c r="F17" s="927"/>
      <c r="H17" s="928"/>
    </row>
    <row r="18" spans="1:8">
      <c r="A18" s="921">
        <v>8</v>
      </c>
      <c r="B18" s="551"/>
      <c r="C18" s="552"/>
      <c r="D18" s="925"/>
      <c r="E18" s="926">
        <f t="shared" si="0"/>
        <v>0</v>
      </c>
      <c r="F18" s="927"/>
    </row>
    <row r="19" spans="1:8">
      <c r="A19" s="921">
        <v>9</v>
      </c>
      <c r="B19" s="551"/>
      <c r="C19" s="552"/>
      <c r="D19" s="925"/>
      <c r="E19" s="926">
        <f t="shared" si="0"/>
        <v>0</v>
      </c>
      <c r="F19" s="927"/>
    </row>
    <row r="20" spans="1:8">
      <c r="A20" s="921">
        <v>10</v>
      </c>
      <c r="B20" s="551"/>
      <c r="C20" s="552"/>
      <c r="D20" s="925"/>
      <c r="E20" s="926">
        <f t="shared" si="0"/>
        <v>0</v>
      </c>
      <c r="F20" s="927"/>
    </row>
    <row r="21" spans="1:8">
      <c r="A21" s="921">
        <v>11</v>
      </c>
      <c r="B21" s="551"/>
      <c r="C21" s="552"/>
      <c r="D21" s="925"/>
      <c r="E21" s="926">
        <f t="shared" si="0"/>
        <v>0</v>
      </c>
      <c r="F21" s="927"/>
    </row>
    <row r="22" spans="1:8">
      <c r="A22" s="921">
        <v>12</v>
      </c>
      <c r="B22" s="551"/>
      <c r="C22" s="552"/>
      <c r="D22" s="925"/>
      <c r="E22" s="926">
        <f t="shared" si="0"/>
        <v>0</v>
      </c>
      <c r="F22" s="927"/>
    </row>
    <row r="23" spans="1:8">
      <c r="A23" s="921">
        <v>13</v>
      </c>
      <c r="B23" s="551"/>
      <c r="C23" s="552"/>
      <c r="D23" s="925"/>
      <c r="E23" s="926">
        <f t="shared" si="0"/>
        <v>0</v>
      </c>
      <c r="F23" s="927"/>
    </row>
    <row r="24" spans="1:8">
      <c r="A24" s="921">
        <v>14</v>
      </c>
      <c r="B24" s="551"/>
      <c r="C24" s="552"/>
      <c r="D24" s="925"/>
      <c r="E24" s="926">
        <f t="shared" si="0"/>
        <v>0</v>
      </c>
      <c r="F24" s="927"/>
    </row>
    <row r="25" spans="1:8">
      <c r="A25" s="921">
        <v>15</v>
      </c>
      <c r="B25" s="551"/>
      <c r="C25" s="552"/>
      <c r="D25" s="925"/>
      <c r="E25" s="926">
        <f t="shared" si="0"/>
        <v>0</v>
      </c>
      <c r="F25" s="927"/>
    </row>
    <row r="26" spans="1:8">
      <c r="A26" s="921">
        <v>16</v>
      </c>
      <c r="B26" s="551"/>
      <c r="C26" s="552"/>
      <c r="D26" s="925"/>
      <c r="E26" s="926">
        <f t="shared" si="0"/>
        <v>0</v>
      </c>
      <c r="F26" s="927"/>
    </row>
    <row r="27" spans="1:8">
      <c r="A27" s="921">
        <v>17</v>
      </c>
      <c r="B27" s="551"/>
      <c r="C27" s="552"/>
      <c r="D27" s="925"/>
      <c r="E27" s="926">
        <f t="shared" si="0"/>
        <v>0</v>
      </c>
      <c r="F27" s="927"/>
    </row>
    <row r="28" spans="1:8">
      <c r="A28" s="921">
        <v>18</v>
      </c>
      <c r="B28" s="551"/>
      <c r="C28" s="552"/>
      <c r="D28" s="925"/>
      <c r="E28" s="926">
        <f t="shared" si="0"/>
        <v>0</v>
      </c>
      <c r="F28" s="927"/>
    </row>
    <row r="29" spans="1:8">
      <c r="A29" s="921">
        <v>19</v>
      </c>
      <c r="B29" s="551"/>
      <c r="C29" s="552"/>
      <c r="D29" s="925"/>
      <c r="E29" s="926">
        <f>+D29*(1+device_markup)</f>
        <v>0</v>
      </c>
      <c r="F29" s="927"/>
    </row>
    <row r="30" spans="1:8">
      <c r="A30" s="921">
        <v>20</v>
      </c>
      <c r="B30" s="551"/>
      <c r="C30" s="552"/>
      <c r="D30" s="925"/>
      <c r="E30" s="926">
        <f t="shared" si="0"/>
        <v>0</v>
      </c>
      <c r="F30" s="927"/>
    </row>
    <row r="31" spans="1:8">
      <c r="A31" s="921">
        <v>21</v>
      </c>
      <c r="B31" s="551"/>
      <c r="C31" s="552"/>
      <c r="D31" s="925"/>
      <c r="E31" s="926">
        <f t="shared" si="0"/>
        <v>0</v>
      </c>
      <c r="F31" s="927"/>
    </row>
    <row r="32" spans="1:8">
      <c r="A32" s="921">
        <v>22</v>
      </c>
      <c r="B32" s="551"/>
      <c r="C32" s="552"/>
      <c r="D32" s="925"/>
      <c r="E32" s="926">
        <f t="shared" si="0"/>
        <v>0</v>
      </c>
      <c r="F32" s="927"/>
    </row>
    <row r="33" spans="1:6">
      <c r="A33" s="921">
        <v>23</v>
      </c>
      <c r="B33" s="551"/>
      <c r="C33" s="552"/>
      <c r="D33" s="925"/>
      <c r="E33" s="926">
        <f t="shared" si="0"/>
        <v>0</v>
      </c>
      <c r="F33" s="927"/>
    </row>
    <row r="34" spans="1:6">
      <c r="A34" s="921">
        <v>24</v>
      </c>
      <c r="B34" s="551"/>
      <c r="C34" s="552"/>
      <c r="D34" s="925"/>
      <c r="E34" s="926">
        <f t="shared" si="0"/>
        <v>0</v>
      </c>
      <c r="F34" s="927"/>
    </row>
    <row r="35" spans="1:6">
      <c r="A35" s="921">
        <v>25</v>
      </c>
      <c r="B35" s="551"/>
      <c r="C35" s="552"/>
      <c r="D35" s="925"/>
      <c r="E35" s="926">
        <f t="shared" si="0"/>
        <v>0</v>
      </c>
      <c r="F35" s="927"/>
    </row>
    <row r="36" spans="1:6">
      <c r="A36" s="921">
        <v>26</v>
      </c>
      <c r="B36" s="551"/>
      <c r="C36" s="552"/>
      <c r="D36" s="925"/>
      <c r="E36" s="926">
        <f t="shared" si="0"/>
        <v>0</v>
      </c>
      <c r="F36" s="927"/>
    </row>
    <row r="37" spans="1:6">
      <c r="A37" s="921">
        <v>27</v>
      </c>
      <c r="B37" s="551"/>
      <c r="C37" s="552"/>
      <c r="D37" s="925"/>
      <c r="E37" s="926">
        <f t="shared" si="0"/>
        <v>0</v>
      </c>
      <c r="F37" s="927"/>
    </row>
    <row r="38" spans="1:6">
      <c r="A38" s="921">
        <v>28</v>
      </c>
      <c r="B38" s="551"/>
      <c r="C38" s="552"/>
      <c r="D38" s="925"/>
      <c r="E38" s="926">
        <f t="shared" si="0"/>
        <v>0</v>
      </c>
      <c r="F38" s="927"/>
    </row>
    <row r="39" spans="1:6">
      <c r="A39" s="921">
        <v>29</v>
      </c>
      <c r="B39" s="551"/>
      <c r="C39" s="552"/>
      <c r="D39" s="925"/>
      <c r="E39" s="926">
        <f t="shared" si="0"/>
        <v>0</v>
      </c>
      <c r="F39" s="927"/>
    </row>
    <row r="40" spans="1:6">
      <c r="A40" s="921">
        <v>30</v>
      </c>
      <c r="B40" s="551"/>
      <c r="C40" s="552"/>
      <c r="D40" s="925"/>
      <c r="E40" s="926">
        <f t="shared" si="0"/>
        <v>0</v>
      </c>
      <c r="F40" s="927"/>
    </row>
    <row r="41" spans="1:6">
      <c r="A41" s="921">
        <v>31</v>
      </c>
      <c r="B41" s="551"/>
      <c r="C41" s="552"/>
      <c r="D41" s="925"/>
      <c r="E41" s="926">
        <f t="shared" si="0"/>
        <v>0</v>
      </c>
      <c r="F41" s="927"/>
    </row>
    <row r="42" spans="1:6">
      <c r="A42" s="921">
        <v>32</v>
      </c>
      <c r="B42" s="551"/>
      <c r="C42" s="552"/>
      <c r="D42" s="925"/>
      <c r="E42" s="926">
        <f t="shared" si="0"/>
        <v>0</v>
      </c>
      <c r="F42" s="927"/>
    </row>
    <row r="43" spans="1:6">
      <c r="A43" s="921">
        <v>33</v>
      </c>
      <c r="B43" s="551"/>
      <c r="C43" s="552"/>
      <c r="D43" s="925"/>
      <c r="E43" s="926">
        <f t="shared" si="0"/>
        <v>0</v>
      </c>
      <c r="F43" s="927"/>
    </row>
    <row r="44" spans="1:6">
      <c r="A44" s="921">
        <v>34</v>
      </c>
      <c r="B44" s="551"/>
      <c r="C44" s="552"/>
      <c r="D44" s="925"/>
      <c r="E44" s="926">
        <f t="shared" si="0"/>
        <v>0</v>
      </c>
      <c r="F44" s="927"/>
    </row>
    <row r="45" spans="1:6">
      <c r="A45" s="921">
        <v>35</v>
      </c>
      <c r="B45" s="551"/>
      <c r="C45" s="552"/>
      <c r="D45" s="925"/>
      <c r="E45" s="926">
        <f t="shared" si="0"/>
        <v>0</v>
      </c>
      <c r="F45" s="927"/>
    </row>
    <row r="46" spans="1:6">
      <c r="A46" s="921">
        <v>36</v>
      </c>
      <c r="B46" s="551"/>
      <c r="C46" s="552"/>
      <c r="D46" s="925"/>
      <c r="E46" s="926">
        <f t="shared" si="0"/>
        <v>0</v>
      </c>
      <c r="F46" s="927"/>
    </row>
    <row r="47" spans="1:6">
      <c r="A47" s="921">
        <v>37</v>
      </c>
      <c r="B47" s="551"/>
      <c r="C47" s="552"/>
      <c r="D47" s="925"/>
      <c r="E47" s="926">
        <f t="shared" ref="E47:E74" si="1">+D47*(1+device_markup)</f>
        <v>0</v>
      </c>
      <c r="F47" s="927"/>
    </row>
    <row r="48" spans="1:6">
      <c r="A48" s="921">
        <v>38</v>
      </c>
      <c r="B48" s="551"/>
      <c r="C48" s="552"/>
      <c r="D48" s="925"/>
      <c r="E48" s="926">
        <f t="shared" si="1"/>
        <v>0</v>
      </c>
      <c r="F48" s="927"/>
    </row>
    <row r="49" spans="1:6">
      <c r="A49" s="921">
        <v>39</v>
      </c>
      <c r="B49" s="551"/>
      <c r="C49" s="552"/>
      <c r="D49" s="925"/>
      <c r="E49" s="926">
        <f t="shared" si="1"/>
        <v>0</v>
      </c>
      <c r="F49" s="927"/>
    </row>
    <row r="50" spans="1:6">
      <c r="A50" s="921">
        <v>40</v>
      </c>
      <c r="B50" s="551"/>
      <c r="C50" s="552"/>
      <c r="D50" s="925"/>
      <c r="E50" s="926">
        <f t="shared" si="1"/>
        <v>0</v>
      </c>
      <c r="F50" s="927"/>
    </row>
    <row r="51" spans="1:6">
      <c r="A51" s="921">
        <v>41</v>
      </c>
      <c r="B51" s="551"/>
      <c r="C51" s="552"/>
      <c r="D51" s="925"/>
      <c r="E51" s="926">
        <f t="shared" si="1"/>
        <v>0</v>
      </c>
      <c r="F51" s="927"/>
    </row>
    <row r="52" spans="1:6">
      <c r="A52" s="921">
        <v>42</v>
      </c>
      <c r="B52" s="551"/>
      <c r="C52" s="552"/>
      <c r="D52" s="925"/>
      <c r="E52" s="926">
        <f t="shared" si="1"/>
        <v>0</v>
      </c>
      <c r="F52" s="927"/>
    </row>
    <row r="53" spans="1:6">
      <c r="A53" s="921">
        <v>43</v>
      </c>
      <c r="B53" s="551"/>
      <c r="C53" s="552"/>
      <c r="D53" s="925"/>
      <c r="E53" s="926">
        <f t="shared" si="1"/>
        <v>0</v>
      </c>
      <c r="F53" s="927"/>
    </row>
    <row r="54" spans="1:6">
      <c r="A54" s="921">
        <v>44</v>
      </c>
      <c r="B54" s="551"/>
      <c r="C54" s="552"/>
      <c r="D54" s="925"/>
      <c r="E54" s="926">
        <f t="shared" si="1"/>
        <v>0</v>
      </c>
      <c r="F54" s="927"/>
    </row>
    <row r="55" spans="1:6">
      <c r="A55" s="921">
        <v>45</v>
      </c>
      <c r="B55" s="551"/>
      <c r="C55" s="552"/>
      <c r="D55" s="925"/>
      <c r="E55" s="926">
        <f t="shared" si="1"/>
        <v>0</v>
      </c>
      <c r="F55" s="927"/>
    </row>
    <row r="56" spans="1:6">
      <c r="A56" s="921">
        <v>46</v>
      </c>
      <c r="B56" s="551"/>
      <c r="C56" s="552"/>
      <c r="D56" s="925"/>
      <c r="E56" s="926">
        <f t="shared" si="1"/>
        <v>0</v>
      </c>
      <c r="F56" s="927"/>
    </row>
    <row r="57" spans="1:6">
      <c r="A57" s="921">
        <v>47</v>
      </c>
      <c r="B57" s="551"/>
      <c r="C57" s="552"/>
      <c r="D57" s="925"/>
      <c r="E57" s="926">
        <f t="shared" si="1"/>
        <v>0</v>
      </c>
      <c r="F57" s="927"/>
    </row>
    <row r="58" spans="1:6">
      <c r="A58" s="921">
        <v>48</v>
      </c>
      <c r="B58" s="551"/>
      <c r="C58" s="552"/>
      <c r="D58" s="925"/>
      <c r="E58" s="926">
        <f t="shared" si="1"/>
        <v>0</v>
      </c>
      <c r="F58" s="927"/>
    </row>
    <row r="59" spans="1:6">
      <c r="A59" s="921">
        <v>49</v>
      </c>
      <c r="B59" s="551"/>
      <c r="C59" s="552"/>
      <c r="D59" s="925"/>
      <c r="E59" s="926">
        <f t="shared" si="1"/>
        <v>0</v>
      </c>
      <c r="F59" s="927"/>
    </row>
    <row r="60" spans="1:6">
      <c r="A60" s="921">
        <v>50</v>
      </c>
      <c r="B60" s="551"/>
      <c r="C60" s="552"/>
      <c r="D60" s="925"/>
      <c r="E60" s="926">
        <f t="shared" si="1"/>
        <v>0</v>
      </c>
      <c r="F60" s="927"/>
    </row>
    <row r="61" spans="1:6">
      <c r="A61" s="921">
        <v>51</v>
      </c>
      <c r="B61" s="551"/>
      <c r="C61" s="552"/>
      <c r="D61" s="925"/>
      <c r="E61" s="926">
        <f t="shared" si="1"/>
        <v>0</v>
      </c>
      <c r="F61" s="927"/>
    </row>
    <row r="62" spans="1:6">
      <c r="A62" s="921">
        <v>52</v>
      </c>
      <c r="B62" s="551"/>
      <c r="C62" s="552"/>
      <c r="D62" s="925"/>
      <c r="E62" s="926">
        <f t="shared" si="1"/>
        <v>0</v>
      </c>
      <c r="F62" s="927"/>
    </row>
    <row r="63" spans="1:6">
      <c r="A63" s="921">
        <v>53</v>
      </c>
      <c r="B63" s="551"/>
      <c r="C63" s="552"/>
      <c r="D63" s="925"/>
      <c r="E63" s="926">
        <f t="shared" si="1"/>
        <v>0</v>
      </c>
      <c r="F63" s="927"/>
    </row>
    <row r="64" spans="1:6">
      <c r="A64" s="921">
        <v>54</v>
      </c>
      <c r="B64" s="551"/>
      <c r="C64" s="552"/>
      <c r="D64" s="925"/>
      <c r="E64" s="926">
        <f t="shared" si="1"/>
        <v>0</v>
      </c>
      <c r="F64" s="927"/>
    </row>
    <row r="65" spans="1:6">
      <c r="A65" s="921">
        <v>55</v>
      </c>
      <c r="B65" s="551"/>
      <c r="C65" s="552"/>
      <c r="D65" s="925"/>
      <c r="E65" s="926">
        <f t="shared" si="1"/>
        <v>0</v>
      </c>
      <c r="F65" s="927"/>
    </row>
    <row r="66" spans="1:6">
      <c r="A66" s="921">
        <v>56</v>
      </c>
      <c r="B66" s="551"/>
      <c r="C66" s="552"/>
      <c r="D66" s="925"/>
      <c r="E66" s="926">
        <f t="shared" si="1"/>
        <v>0</v>
      </c>
      <c r="F66" s="927"/>
    </row>
    <row r="67" spans="1:6">
      <c r="A67" s="921">
        <v>57</v>
      </c>
      <c r="B67" s="551"/>
      <c r="C67" s="552"/>
      <c r="D67" s="925"/>
      <c r="E67" s="926">
        <f t="shared" si="1"/>
        <v>0</v>
      </c>
      <c r="F67" s="927"/>
    </row>
    <row r="68" spans="1:6">
      <c r="A68" s="921">
        <v>58</v>
      </c>
      <c r="B68" s="551"/>
      <c r="C68" s="552"/>
      <c r="D68" s="925"/>
      <c r="E68" s="926">
        <f t="shared" si="1"/>
        <v>0</v>
      </c>
      <c r="F68" s="927"/>
    </row>
    <row r="69" spans="1:6">
      <c r="A69" s="921">
        <v>59</v>
      </c>
      <c r="B69" s="551"/>
      <c r="C69" s="552"/>
      <c r="D69" s="925"/>
      <c r="E69" s="926">
        <f t="shared" si="1"/>
        <v>0</v>
      </c>
      <c r="F69" s="927"/>
    </row>
    <row r="70" spans="1:6">
      <c r="A70" s="921">
        <v>60</v>
      </c>
      <c r="B70" s="551"/>
      <c r="C70" s="552"/>
      <c r="D70" s="925"/>
      <c r="E70" s="926">
        <f t="shared" si="1"/>
        <v>0</v>
      </c>
      <c r="F70" s="927"/>
    </row>
    <row r="71" spans="1:6">
      <c r="A71" s="921">
        <v>61</v>
      </c>
      <c r="B71" s="551"/>
      <c r="C71" s="552"/>
      <c r="D71" s="925"/>
      <c r="E71" s="926">
        <f t="shared" si="1"/>
        <v>0</v>
      </c>
      <c r="F71" s="927"/>
    </row>
    <row r="72" spans="1:6">
      <c r="A72" s="921">
        <v>62</v>
      </c>
      <c r="B72" s="551"/>
      <c r="C72" s="552"/>
      <c r="D72" s="925"/>
      <c r="E72" s="926">
        <f t="shared" si="1"/>
        <v>0</v>
      </c>
      <c r="F72" s="927"/>
    </row>
    <row r="73" spans="1:6">
      <c r="A73" s="921">
        <v>63</v>
      </c>
      <c r="B73" s="551"/>
      <c r="C73" s="552"/>
      <c r="D73" s="925"/>
      <c r="E73" s="926">
        <f t="shared" si="1"/>
        <v>0</v>
      </c>
      <c r="F73" s="927"/>
    </row>
    <row r="74" spans="1:6">
      <c r="A74" s="921">
        <v>64</v>
      </c>
      <c r="B74" s="551"/>
      <c r="C74" s="552"/>
      <c r="D74" s="925"/>
      <c r="E74" s="926">
        <f t="shared" si="1"/>
        <v>0</v>
      </c>
      <c r="F74" s="927"/>
    </row>
    <row r="75" spans="1:6">
      <c r="A75" s="921">
        <v>65</v>
      </c>
      <c r="B75" s="551"/>
      <c r="C75" s="552"/>
      <c r="D75" s="925"/>
      <c r="E75" s="926">
        <f t="shared" ref="E75:E106" si="2">+D75*(1+device_markup)</f>
        <v>0</v>
      </c>
      <c r="F75" s="927"/>
    </row>
    <row r="76" spans="1:6">
      <c r="A76" s="921">
        <v>66</v>
      </c>
      <c r="B76" s="551"/>
      <c r="C76" s="552"/>
      <c r="D76" s="925"/>
      <c r="E76" s="926">
        <f t="shared" si="2"/>
        <v>0</v>
      </c>
      <c r="F76" s="927"/>
    </row>
    <row r="77" spans="1:6">
      <c r="A77" s="921">
        <v>67</v>
      </c>
      <c r="B77" s="551"/>
      <c r="C77" s="552"/>
      <c r="D77" s="925"/>
      <c r="E77" s="926">
        <f t="shared" si="2"/>
        <v>0</v>
      </c>
      <c r="F77" s="927"/>
    </row>
    <row r="78" spans="1:6">
      <c r="A78" s="921">
        <v>68</v>
      </c>
      <c r="B78" s="551"/>
      <c r="C78" s="552"/>
      <c r="D78" s="925"/>
      <c r="E78" s="926">
        <f t="shared" si="2"/>
        <v>0</v>
      </c>
      <c r="F78" s="927"/>
    </row>
    <row r="79" spans="1:6">
      <c r="A79" s="921">
        <v>69</v>
      </c>
      <c r="B79" s="551"/>
      <c r="C79" s="552"/>
      <c r="D79" s="925"/>
      <c r="E79" s="926">
        <f t="shared" si="2"/>
        <v>0</v>
      </c>
      <c r="F79" s="927"/>
    </row>
    <row r="80" spans="1:6">
      <c r="A80" s="921">
        <v>70</v>
      </c>
      <c r="B80" s="551"/>
      <c r="C80" s="552"/>
      <c r="D80" s="925"/>
      <c r="E80" s="926">
        <f t="shared" si="2"/>
        <v>0</v>
      </c>
      <c r="F80" s="927"/>
    </row>
    <row r="81" spans="1:6">
      <c r="A81" s="921">
        <v>71</v>
      </c>
      <c r="B81" s="551"/>
      <c r="C81" s="552"/>
      <c r="D81" s="925"/>
      <c r="E81" s="926">
        <f t="shared" si="2"/>
        <v>0</v>
      </c>
      <c r="F81" s="927"/>
    </row>
    <row r="82" spans="1:6">
      <c r="A82" s="921">
        <v>72</v>
      </c>
      <c r="B82" s="551"/>
      <c r="C82" s="552"/>
      <c r="D82" s="925"/>
      <c r="E82" s="926">
        <f t="shared" si="2"/>
        <v>0</v>
      </c>
      <c r="F82" s="927"/>
    </row>
    <row r="83" spans="1:6">
      <c r="A83" s="921">
        <v>73</v>
      </c>
      <c r="B83" s="551"/>
      <c r="C83" s="552"/>
      <c r="D83" s="925"/>
      <c r="E83" s="926">
        <f t="shared" si="2"/>
        <v>0</v>
      </c>
      <c r="F83" s="927"/>
    </row>
    <row r="84" spans="1:6">
      <c r="A84" s="921">
        <v>74</v>
      </c>
      <c r="B84" s="551"/>
      <c r="C84" s="552"/>
      <c r="D84" s="925"/>
      <c r="E84" s="926">
        <f t="shared" si="2"/>
        <v>0</v>
      </c>
      <c r="F84" s="927"/>
    </row>
    <row r="85" spans="1:6">
      <c r="A85" s="921">
        <v>75</v>
      </c>
      <c r="B85" s="551"/>
      <c r="C85" s="552"/>
      <c r="D85" s="925"/>
      <c r="E85" s="926">
        <f t="shared" si="2"/>
        <v>0</v>
      </c>
      <c r="F85" s="927"/>
    </row>
    <row r="86" spans="1:6">
      <c r="A86" s="921">
        <v>76</v>
      </c>
      <c r="B86" s="551"/>
      <c r="C86" s="552"/>
      <c r="D86" s="925"/>
      <c r="E86" s="926">
        <f t="shared" si="2"/>
        <v>0</v>
      </c>
      <c r="F86" s="927"/>
    </row>
    <row r="87" spans="1:6">
      <c r="A87" s="921">
        <v>77</v>
      </c>
      <c r="B87" s="551"/>
      <c r="C87" s="552"/>
      <c r="D87" s="925"/>
      <c r="E87" s="926">
        <f t="shared" si="2"/>
        <v>0</v>
      </c>
      <c r="F87" s="927"/>
    </row>
    <row r="88" spans="1:6">
      <c r="A88" s="921">
        <v>78</v>
      </c>
      <c r="B88" s="551"/>
      <c r="C88" s="552"/>
      <c r="D88" s="925"/>
      <c r="E88" s="926">
        <f t="shared" si="2"/>
        <v>0</v>
      </c>
      <c r="F88" s="927"/>
    </row>
    <row r="89" spans="1:6">
      <c r="A89" s="921">
        <v>79</v>
      </c>
      <c r="B89" s="551"/>
      <c r="C89" s="552"/>
      <c r="D89" s="925"/>
      <c r="E89" s="926">
        <f t="shared" si="2"/>
        <v>0</v>
      </c>
      <c r="F89" s="927"/>
    </row>
    <row r="90" spans="1:6">
      <c r="A90" s="921">
        <v>80</v>
      </c>
      <c r="B90" s="551"/>
      <c r="C90" s="552"/>
      <c r="D90" s="925"/>
      <c r="E90" s="926">
        <f t="shared" si="2"/>
        <v>0</v>
      </c>
      <c r="F90" s="927"/>
    </row>
    <row r="91" spans="1:6">
      <c r="A91" s="921">
        <v>81</v>
      </c>
      <c r="B91" s="551"/>
      <c r="C91" s="552"/>
      <c r="D91" s="925"/>
      <c r="E91" s="926">
        <f t="shared" si="2"/>
        <v>0</v>
      </c>
      <c r="F91" s="927"/>
    </row>
    <row r="92" spans="1:6">
      <c r="A92" s="921">
        <v>82</v>
      </c>
      <c r="B92" s="551"/>
      <c r="C92" s="552"/>
      <c r="D92" s="925"/>
      <c r="E92" s="926">
        <f t="shared" si="2"/>
        <v>0</v>
      </c>
      <c r="F92" s="927"/>
    </row>
    <row r="93" spans="1:6">
      <c r="A93" s="921">
        <v>83</v>
      </c>
      <c r="B93" s="551"/>
      <c r="C93" s="552"/>
      <c r="D93" s="925"/>
      <c r="E93" s="926">
        <f t="shared" si="2"/>
        <v>0</v>
      </c>
      <c r="F93" s="927"/>
    </row>
    <row r="94" spans="1:6">
      <c r="A94" s="921">
        <v>84</v>
      </c>
      <c r="B94" s="551"/>
      <c r="C94" s="552"/>
      <c r="D94" s="925"/>
      <c r="E94" s="926">
        <f t="shared" si="2"/>
        <v>0</v>
      </c>
      <c r="F94" s="927"/>
    </row>
    <row r="95" spans="1:6">
      <c r="A95" s="921">
        <v>85</v>
      </c>
      <c r="B95" s="551"/>
      <c r="C95" s="552"/>
      <c r="D95" s="925"/>
      <c r="E95" s="926">
        <f t="shared" si="2"/>
        <v>0</v>
      </c>
      <c r="F95" s="927"/>
    </row>
    <row r="96" spans="1:6">
      <c r="A96" s="921">
        <v>86</v>
      </c>
      <c r="B96" s="551"/>
      <c r="C96" s="552"/>
      <c r="D96" s="925"/>
      <c r="E96" s="926">
        <f t="shared" si="2"/>
        <v>0</v>
      </c>
      <c r="F96" s="927"/>
    </row>
    <row r="97" spans="1:6">
      <c r="A97" s="921">
        <v>87</v>
      </c>
      <c r="B97" s="551"/>
      <c r="C97" s="552"/>
      <c r="D97" s="925"/>
      <c r="E97" s="926">
        <f t="shared" si="2"/>
        <v>0</v>
      </c>
      <c r="F97" s="927"/>
    </row>
    <row r="98" spans="1:6">
      <c r="A98" s="921">
        <v>88</v>
      </c>
      <c r="B98" s="551"/>
      <c r="C98" s="552"/>
      <c r="D98" s="925"/>
      <c r="E98" s="926">
        <f t="shared" si="2"/>
        <v>0</v>
      </c>
      <c r="F98" s="927"/>
    </row>
    <row r="99" spans="1:6">
      <c r="A99" s="921">
        <v>89</v>
      </c>
      <c r="B99" s="551"/>
      <c r="C99" s="552"/>
      <c r="D99" s="925"/>
      <c r="E99" s="926">
        <f t="shared" si="2"/>
        <v>0</v>
      </c>
      <c r="F99" s="927"/>
    </row>
    <row r="100" spans="1:6">
      <c r="A100" s="921">
        <v>90</v>
      </c>
      <c r="B100" s="551"/>
      <c r="C100" s="552"/>
      <c r="D100" s="925"/>
      <c r="E100" s="926">
        <f t="shared" si="2"/>
        <v>0</v>
      </c>
      <c r="F100" s="927"/>
    </row>
    <row r="101" spans="1:6">
      <c r="A101" s="921">
        <v>91</v>
      </c>
      <c r="B101" s="551"/>
      <c r="C101" s="552"/>
      <c r="D101" s="925"/>
      <c r="E101" s="926">
        <f t="shared" si="2"/>
        <v>0</v>
      </c>
      <c r="F101" s="927"/>
    </row>
    <row r="102" spans="1:6">
      <c r="A102" s="921">
        <v>92</v>
      </c>
      <c r="B102" s="551"/>
      <c r="C102" s="552"/>
      <c r="D102" s="925"/>
      <c r="E102" s="926">
        <f t="shared" si="2"/>
        <v>0</v>
      </c>
      <c r="F102" s="927"/>
    </row>
    <row r="103" spans="1:6">
      <c r="A103" s="921">
        <v>93</v>
      </c>
      <c r="B103" s="551"/>
      <c r="C103" s="552"/>
      <c r="D103" s="925"/>
      <c r="E103" s="926">
        <f t="shared" si="2"/>
        <v>0</v>
      </c>
      <c r="F103" s="927"/>
    </row>
    <row r="104" spans="1:6">
      <c r="A104" s="921">
        <v>94</v>
      </c>
      <c r="B104" s="551"/>
      <c r="C104" s="552"/>
      <c r="D104" s="925"/>
      <c r="E104" s="926">
        <f t="shared" si="2"/>
        <v>0</v>
      </c>
      <c r="F104" s="927"/>
    </row>
    <row r="105" spans="1:6">
      <c r="A105" s="921">
        <v>95</v>
      </c>
      <c r="B105" s="551"/>
      <c r="C105" s="552"/>
      <c r="D105" s="925"/>
      <c r="E105" s="926">
        <f t="shared" si="2"/>
        <v>0</v>
      </c>
      <c r="F105" s="927"/>
    </row>
    <row r="106" spans="1:6">
      <c r="A106" s="921">
        <v>96</v>
      </c>
      <c r="B106" s="551"/>
      <c r="C106" s="552"/>
      <c r="D106" s="925"/>
      <c r="E106" s="926">
        <f t="shared" si="2"/>
        <v>0</v>
      </c>
      <c r="F106" s="927"/>
    </row>
    <row r="107" spans="1:6">
      <c r="A107" s="921">
        <v>97</v>
      </c>
      <c r="B107" s="551"/>
      <c r="C107" s="552"/>
      <c r="D107" s="925"/>
      <c r="E107" s="926">
        <f>+D107*(1+device_markup)</f>
        <v>0</v>
      </c>
      <c r="F107" s="927"/>
    </row>
    <row r="108" spans="1:6">
      <c r="A108" s="921">
        <v>98</v>
      </c>
      <c r="B108" s="551"/>
      <c r="C108" s="552"/>
      <c r="D108" s="925"/>
      <c r="E108" s="926">
        <f>+D108*(1+device_markup)</f>
        <v>0</v>
      </c>
      <c r="F108" s="927"/>
    </row>
    <row r="109" spans="1:6">
      <c r="A109" s="921">
        <v>99</v>
      </c>
      <c r="B109" s="551"/>
      <c r="C109" s="552"/>
      <c r="D109" s="925"/>
      <c r="E109" s="926">
        <f>+D109*(1+device_markup)</f>
        <v>0</v>
      </c>
      <c r="F109" s="927"/>
    </row>
    <row r="110" spans="1:6">
      <c r="A110" s="929">
        <v>100</v>
      </c>
      <c r="B110" s="930"/>
      <c r="C110" s="931"/>
      <c r="D110" s="932"/>
      <c r="E110" s="933">
        <f>+D110*(1+device_markup)</f>
        <v>0</v>
      </c>
      <c r="F110" s="934"/>
    </row>
  </sheetData>
  <sheetProtection selectLockedCells="1"/>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sheetPr>
  <dimension ref="A1:S60"/>
  <sheetViews>
    <sheetView showGridLines="0" topLeftCell="A2" zoomScale="90" zoomScaleNormal="90" workbookViewId="0">
      <selection activeCell="I11" sqref="I11"/>
    </sheetView>
  </sheetViews>
  <sheetFormatPr baseColWidth="10" defaultColWidth="8.77734375" defaultRowHeight="14.4"/>
  <cols>
    <col min="1" max="1" width="3.5546875" style="3" customWidth="1"/>
    <col min="2" max="2" width="38.88671875" style="3" customWidth="1"/>
    <col min="3" max="3" width="21.33203125" style="3" customWidth="1"/>
    <col min="4" max="4" width="22.21875" style="3" customWidth="1"/>
    <col min="5" max="5" width="17.5546875" style="3" customWidth="1"/>
    <col min="6" max="6" width="25.109375" style="3" customWidth="1"/>
    <col min="7" max="7" width="26.21875" style="3" customWidth="1"/>
    <col min="8" max="13" width="8.77734375" style="3"/>
    <col min="14" max="19" width="12.6640625" style="3" customWidth="1"/>
    <col min="20" max="16384" width="8.77734375" style="3"/>
  </cols>
  <sheetData>
    <row r="1" spans="1:19" s="315" customFormat="1" ht="24" customHeight="1">
      <c r="A1" s="314" t="s">
        <v>752</v>
      </c>
      <c r="B1" s="419"/>
      <c r="K1" s="316"/>
      <c r="L1" s="317"/>
      <c r="M1" s="317"/>
    </row>
    <row r="2" spans="1:19" s="51" customFormat="1" ht="18">
      <c r="A2" s="50" t="s">
        <v>598</v>
      </c>
      <c r="B2" s="453"/>
      <c r="K2" s="52"/>
      <c r="L2" s="53"/>
      <c r="M2" s="53"/>
    </row>
    <row r="4" spans="1:19">
      <c r="N4" s="22" t="s">
        <v>1131</v>
      </c>
      <c r="O4" s="541"/>
      <c r="P4" s="541"/>
      <c r="Q4" s="541"/>
      <c r="R4" s="541"/>
      <c r="S4" s="541"/>
    </row>
    <row r="5" spans="1:19">
      <c r="M5" s="368"/>
      <c r="N5" s="479">
        <v>2</v>
      </c>
      <c r="O5" s="368">
        <v>3</v>
      </c>
      <c r="P5" s="368">
        <v>4</v>
      </c>
      <c r="Q5" s="368">
        <v>5</v>
      </c>
      <c r="R5" s="368">
        <v>6</v>
      </c>
      <c r="S5" s="368">
        <v>7</v>
      </c>
    </row>
    <row r="6" spans="1:19" s="541" customFormat="1" ht="28.8">
      <c r="B6" s="542" t="s">
        <v>5</v>
      </c>
      <c r="C6" s="543" t="s">
        <v>0</v>
      </c>
      <c r="D6" s="544" t="s">
        <v>1167</v>
      </c>
      <c r="E6" s="544" t="s">
        <v>1177</v>
      </c>
      <c r="F6" s="544" t="str">
        <f>"Unit Cost ("&amp;currency_enter&amp;")"</f>
        <v>Unit Cost ()</v>
      </c>
      <c r="G6" s="545" t="str">
        <f>"Annual Cost ("&amp;currency_enter&amp;") per health system level"</f>
        <v>Annual Cost () per health system level</v>
      </c>
      <c r="M6" s="478"/>
      <c r="N6" s="546">
        <f>baseline_year</f>
        <v>0</v>
      </c>
      <c r="O6" s="547">
        <f>baseline_year+1</f>
        <v>1</v>
      </c>
      <c r="P6" s="547">
        <f>O6+1</f>
        <v>2</v>
      </c>
      <c r="Q6" s="547">
        <f>P6+1</f>
        <v>3</v>
      </c>
      <c r="R6" s="547">
        <f>Q6+1</f>
        <v>4</v>
      </c>
      <c r="S6" s="548">
        <f>R6+1</f>
        <v>5</v>
      </c>
    </row>
    <row r="7" spans="1:19">
      <c r="M7" s="368"/>
      <c r="N7" s="368"/>
      <c r="O7" s="368"/>
      <c r="P7" s="368"/>
      <c r="Q7" s="368"/>
      <c r="R7" s="368"/>
      <c r="S7" s="368"/>
    </row>
    <row r="8" spans="1:19">
      <c r="A8" s="1">
        <v>1</v>
      </c>
      <c r="B8" s="536"/>
      <c r="C8" s="537"/>
      <c r="D8" s="537"/>
      <c r="E8" s="537"/>
      <c r="F8" s="549"/>
      <c r="G8" s="550">
        <f>E8*F8</f>
        <v>0</v>
      </c>
      <c r="M8" s="368"/>
      <c r="N8" s="426">
        <f>IF($D8="",0,($G8*(VLOOKUP($D8,lookup_healthsystemlevels,N$5,FALSE))))</f>
        <v>0</v>
      </c>
      <c r="O8" s="427">
        <f t="shared" ref="O8:O39" si="0">IF($D8="",0,(($G8*(1+inflation_rate))*(VLOOKUP($D8,lookup_healthsystemlevels,O$5,FALSE))))</f>
        <v>0</v>
      </c>
      <c r="P8" s="427">
        <f t="shared" ref="P8:P39" si="1">IF($D8="",0,(($G8*(1+inflation_rate)^2))*(VLOOKUP($D8,lookup_healthsystemlevels,P$5,FALSE)))</f>
        <v>0</v>
      </c>
      <c r="Q8" s="427">
        <f t="shared" ref="Q8:Q39" si="2">IF($D8="",0,(($G8*(1+inflation_rate)^3))*(VLOOKUP($D8,lookup_healthsystemlevels,Q$5,FALSE)))</f>
        <v>0</v>
      </c>
      <c r="R8" s="427">
        <f t="shared" ref="R8:R39" si="3">IF($D8="",0,(($G8*(1+inflation_rate)^4))*(VLOOKUP($D8,lookup_healthsystemlevels,R$5,FALSE)))</f>
        <v>0</v>
      </c>
      <c r="S8" s="428">
        <f t="shared" ref="S8:S39" si="4">IF($D8="",0,(($G8*(1+inflation_rate)^5))*(VLOOKUP($D8,lookup_healthsystemlevels,S$5,FALSE)))</f>
        <v>0</v>
      </c>
    </row>
    <row r="9" spans="1:19">
      <c r="A9" s="1">
        <v>2</v>
      </c>
      <c r="B9" s="551"/>
      <c r="C9" s="552"/>
      <c r="D9" s="552"/>
      <c r="E9" s="552"/>
      <c r="F9" s="553"/>
      <c r="G9" s="554">
        <f>E9*F9</f>
        <v>0</v>
      </c>
      <c r="M9" s="368"/>
      <c r="N9" s="429">
        <f t="shared" ref="N9:N39" si="5">IF($D9="",0,($G9*(VLOOKUP($D9,lookup_healthsystemlevels,N$5,FALSE))))</f>
        <v>0</v>
      </c>
      <c r="O9" s="319">
        <f t="shared" si="0"/>
        <v>0</v>
      </c>
      <c r="P9" s="319">
        <f t="shared" si="1"/>
        <v>0</v>
      </c>
      <c r="Q9" s="319">
        <f t="shared" si="2"/>
        <v>0</v>
      </c>
      <c r="R9" s="319">
        <f t="shared" si="3"/>
        <v>0</v>
      </c>
      <c r="S9" s="430">
        <f t="shared" si="4"/>
        <v>0</v>
      </c>
    </row>
    <row r="10" spans="1:19">
      <c r="A10" s="1">
        <v>3</v>
      </c>
      <c r="B10" s="551"/>
      <c r="C10" s="552"/>
      <c r="D10" s="552"/>
      <c r="E10" s="552"/>
      <c r="F10" s="553"/>
      <c r="G10" s="554">
        <f t="shared" ref="G10:G58" si="6">E10*F10</f>
        <v>0</v>
      </c>
      <c r="M10" s="368"/>
      <c r="N10" s="429">
        <f t="shared" si="5"/>
        <v>0</v>
      </c>
      <c r="O10" s="319">
        <f t="shared" si="0"/>
        <v>0</v>
      </c>
      <c r="P10" s="319">
        <f t="shared" si="1"/>
        <v>0</v>
      </c>
      <c r="Q10" s="319">
        <f t="shared" si="2"/>
        <v>0</v>
      </c>
      <c r="R10" s="319">
        <f t="shared" si="3"/>
        <v>0</v>
      </c>
      <c r="S10" s="430">
        <f t="shared" si="4"/>
        <v>0</v>
      </c>
    </row>
    <row r="11" spans="1:19">
      <c r="A11" s="1">
        <v>4</v>
      </c>
      <c r="B11" s="551"/>
      <c r="C11" s="552"/>
      <c r="D11" s="552"/>
      <c r="E11" s="552"/>
      <c r="F11" s="553"/>
      <c r="G11" s="554">
        <f t="shared" si="6"/>
        <v>0</v>
      </c>
      <c r="M11" s="368"/>
      <c r="N11" s="429">
        <f t="shared" si="5"/>
        <v>0</v>
      </c>
      <c r="O11" s="319">
        <f t="shared" si="0"/>
        <v>0</v>
      </c>
      <c r="P11" s="319">
        <f t="shared" si="1"/>
        <v>0</v>
      </c>
      <c r="Q11" s="319">
        <f t="shared" si="2"/>
        <v>0</v>
      </c>
      <c r="R11" s="319">
        <f t="shared" si="3"/>
        <v>0</v>
      </c>
      <c r="S11" s="430">
        <f t="shared" si="4"/>
        <v>0</v>
      </c>
    </row>
    <row r="12" spans="1:19">
      <c r="A12" s="1">
        <v>5</v>
      </c>
      <c r="B12" s="555"/>
      <c r="C12" s="556"/>
      <c r="D12" s="556"/>
      <c r="E12" s="556"/>
      <c r="F12" s="557"/>
      <c r="G12" s="554">
        <f t="shared" si="6"/>
        <v>0</v>
      </c>
      <c r="M12" s="368"/>
      <c r="N12" s="429">
        <f t="shared" si="5"/>
        <v>0</v>
      </c>
      <c r="O12" s="319">
        <f t="shared" si="0"/>
        <v>0</v>
      </c>
      <c r="P12" s="319">
        <f t="shared" si="1"/>
        <v>0</v>
      </c>
      <c r="Q12" s="319">
        <f t="shared" si="2"/>
        <v>0</v>
      </c>
      <c r="R12" s="319">
        <f t="shared" si="3"/>
        <v>0</v>
      </c>
      <c r="S12" s="430">
        <f t="shared" si="4"/>
        <v>0</v>
      </c>
    </row>
    <row r="13" spans="1:19">
      <c r="A13" s="1">
        <v>6</v>
      </c>
      <c r="B13" s="551"/>
      <c r="C13" s="552"/>
      <c r="D13" s="552"/>
      <c r="E13" s="552"/>
      <c r="F13" s="558"/>
      <c r="G13" s="554">
        <f t="shared" si="6"/>
        <v>0</v>
      </c>
      <c r="M13" s="368"/>
      <c r="N13" s="429">
        <f t="shared" si="5"/>
        <v>0</v>
      </c>
      <c r="O13" s="319">
        <f t="shared" si="0"/>
        <v>0</v>
      </c>
      <c r="P13" s="319">
        <f t="shared" si="1"/>
        <v>0</v>
      </c>
      <c r="Q13" s="319">
        <f t="shared" si="2"/>
        <v>0</v>
      </c>
      <c r="R13" s="319">
        <f t="shared" si="3"/>
        <v>0</v>
      </c>
      <c r="S13" s="430">
        <f t="shared" si="4"/>
        <v>0</v>
      </c>
    </row>
    <row r="14" spans="1:19">
      <c r="A14" s="1">
        <v>7</v>
      </c>
      <c r="B14" s="551"/>
      <c r="C14" s="552"/>
      <c r="D14" s="552"/>
      <c r="E14" s="552"/>
      <c r="F14" s="558"/>
      <c r="G14" s="554">
        <f t="shared" si="6"/>
        <v>0</v>
      </c>
      <c r="M14" s="368"/>
      <c r="N14" s="429">
        <f t="shared" si="5"/>
        <v>0</v>
      </c>
      <c r="O14" s="319">
        <f t="shared" si="0"/>
        <v>0</v>
      </c>
      <c r="P14" s="319">
        <f t="shared" si="1"/>
        <v>0</v>
      </c>
      <c r="Q14" s="319">
        <f t="shared" si="2"/>
        <v>0</v>
      </c>
      <c r="R14" s="319">
        <f t="shared" si="3"/>
        <v>0</v>
      </c>
      <c r="S14" s="430">
        <f t="shared" si="4"/>
        <v>0</v>
      </c>
    </row>
    <row r="15" spans="1:19">
      <c r="A15" s="1">
        <v>8</v>
      </c>
      <c r="B15" s="551"/>
      <c r="C15" s="552"/>
      <c r="D15" s="552"/>
      <c r="E15" s="552"/>
      <c r="F15" s="558"/>
      <c r="G15" s="554">
        <f t="shared" si="6"/>
        <v>0</v>
      </c>
      <c r="M15" s="368"/>
      <c r="N15" s="429">
        <f t="shared" si="5"/>
        <v>0</v>
      </c>
      <c r="O15" s="319">
        <f t="shared" si="0"/>
        <v>0</v>
      </c>
      <c r="P15" s="319">
        <f t="shared" si="1"/>
        <v>0</v>
      </c>
      <c r="Q15" s="319">
        <f t="shared" si="2"/>
        <v>0</v>
      </c>
      <c r="R15" s="319">
        <f t="shared" si="3"/>
        <v>0</v>
      </c>
      <c r="S15" s="430">
        <f t="shared" si="4"/>
        <v>0</v>
      </c>
    </row>
    <row r="16" spans="1:19">
      <c r="A16" s="1">
        <v>9</v>
      </c>
      <c r="B16" s="551"/>
      <c r="C16" s="552"/>
      <c r="D16" s="552"/>
      <c r="E16" s="552"/>
      <c r="F16" s="558"/>
      <c r="G16" s="554">
        <f t="shared" si="6"/>
        <v>0</v>
      </c>
      <c r="M16" s="368"/>
      <c r="N16" s="429">
        <f t="shared" si="5"/>
        <v>0</v>
      </c>
      <c r="O16" s="319">
        <f t="shared" si="0"/>
        <v>0</v>
      </c>
      <c r="P16" s="319">
        <f t="shared" si="1"/>
        <v>0</v>
      </c>
      <c r="Q16" s="319">
        <f t="shared" si="2"/>
        <v>0</v>
      </c>
      <c r="R16" s="319">
        <f t="shared" si="3"/>
        <v>0</v>
      </c>
      <c r="S16" s="430">
        <f t="shared" si="4"/>
        <v>0</v>
      </c>
    </row>
    <row r="17" spans="1:19">
      <c r="A17" s="1">
        <v>10</v>
      </c>
      <c r="B17" s="551"/>
      <c r="C17" s="552"/>
      <c r="D17" s="552"/>
      <c r="E17" s="552"/>
      <c r="F17" s="558"/>
      <c r="G17" s="554">
        <f t="shared" si="6"/>
        <v>0</v>
      </c>
      <c r="M17" s="368"/>
      <c r="N17" s="429">
        <f t="shared" si="5"/>
        <v>0</v>
      </c>
      <c r="O17" s="319">
        <f t="shared" si="0"/>
        <v>0</v>
      </c>
      <c r="P17" s="319">
        <f t="shared" si="1"/>
        <v>0</v>
      </c>
      <c r="Q17" s="319">
        <f t="shared" si="2"/>
        <v>0</v>
      </c>
      <c r="R17" s="319">
        <f t="shared" si="3"/>
        <v>0</v>
      </c>
      <c r="S17" s="430">
        <f t="shared" si="4"/>
        <v>0</v>
      </c>
    </row>
    <row r="18" spans="1:19">
      <c r="A18" s="1">
        <v>11</v>
      </c>
      <c r="B18" s="551"/>
      <c r="C18" s="552"/>
      <c r="D18" s="552"/>
      <c r="E18" s="552"/>
      <c r="F18" s="558"/>
      <c r="G18" s="554">
        <f t="shared" si="6"/>
        <v>0</v>
      </c>
      <c r="M18" s="368"/>
      <c r="N18" s="429">
        <f t="shared" si="5"/>
        <v>0</v>
      </c>
      <c r="O18" s="319">
        <f t="shared" si="0"/>
        <v>0</v>
      </c>
      <c r="P18" s="319">
        <f t="shared" si="1"/>
        <v>0</v>
      </c>
      <c r="Q18" s="319">
        <f t="shared" si="2"/>
        <v>0</v>
      </c>
      <c r="R18" s="319">
        <f t="shared" si="3"/>
        <v>0</v>
      </c>
      <c r="S18" s="430">
        <f t="shared" si="4"/>
        <v>0</v>
      </c>
    </row>
    <row r="19" spans="1:19">
      <c r="A19" s="1">
        <v>12</v>
      </c>
      <c r="B19" s="551"/>
      <c r="C19" s="552"/>
      <c r="D19" s="552"/>
      <c r="E19" s="552"/>
      <c r="F19" s="558"/>
      <c r="G19" s="554">
        <f t="shared" si="6"/>
        <v>0</v>
      </c>
      <c r="M19" s="368"/>
      <c r="N19" s="429">
        <f t="shared" si="5"/>
        <v>0</v>
      </c>
      <c r="O19" s="319">
        <f t="shared" si="0"/>
        <v>0</v>
      </c>
      <c r="P19" s="319">
        <f t="shared" si="1"/>
        <v>0</v>
      </c>
      <c r="Q19" s="319">
        <f t="shared" si="2"/>
        <v>0</v>
      </c>
      <c r="R19" s="319">
        <f t="shared" si="3"/>
        <v>0</v>
      </c>
      <c r="S19" s="430">
        <f t="shared" si="4"/>
        <v>0</v>
      </c>
    </row>
    <row r="20" spans="1:19">
      <c r="A20" s="1">
        <v>13</v>
      </c>
      <c r="B20" s="551"/>
      <c r="C20" s="552"/>
      <c r="D20" s="552"/>
      <c r="E20" s="552"/>
      <c r="F20" s="558"/>
      <c r="G20" s="554">
        <f t="shared" si="6"/>
        <v>0</v>
      </c>
      <c r="M20" s="368"/>
      <c r="N20" s="429">
        <f t="shared" si="5"/>
        <v>0</v>
      </c>
      <c r="O20" s="319">
        <f t="shared" si="0"/>
        <v>0</v>
      </c>
      <c r="P20" s="319">
        <f t="shared" si="1"/>
        <v>0</v>
      </c>
      <c r="Q20" s="319">
        <f t="shared" si="2"/>
        <v>0</v>
      </c>
      <c r="R20" s="319">
        <f t="shared" si="3"/>
        <v>0</v>
      </c>
      <c r="S20" s="430">
        <f t="shared" si="4"/>
        <v>0</v>
      </c>
    </row>
    <row r="21" spans="1:19">
      <c r="A21" s="1">
        <v>14</v>
      </c>
      <c r="B21" s="551"/>
      <c r="C21" s="552"/>
      <c r="D21" s="552"/>
      <c r="E21" s="552"/>
      <c r="F21" s="558"/>
      <c r="G21" s="554">
        <f t="shared" si="6"/>
        <v>0</v>
      </c>
      <c r="M21" s="368"/>
      <c r="N21" s="429">
        <f t="shared" si="5"/>
        <v>0</v>
      </c>
      <c r="O21" s="319">
        <f t="shared" si="0"/>
        <v>0</v>
      </c>
      <c r="P21" s="319">
        <f t="shared" si="1"/>
        <v>0</v>
      </c>
      <c r="Q21" s="319">
        <f t="shared" si="2"/>
        <v>0</v>
      </c>
      <c r="R21" s="319">
        <f t="shared" si="3"/>
        <v>0</v>
      </c>
      <c r="S21" s="430">
        <f t="shared" si="4"/>
        <v>0</v>
      </c>
    </row>
    <row r="22" spans="1:19">
      <c r="A22" s="1">
        <v>15</v>
      </c>
      <c r="B22" s="551"/>
      <c r="C22" s="552"/>
      <c r="D22" s="552"/>
      <c r="E22" s="552"/>
      <c r="F22" s="558"/>
      <c r="G22" s="554">
        <f t="shared" si="6"/>
        <v>0</v>
      </c>
      <c r="M22" s="368"/>
      <c r="N22" s="429">
        <f t="shared" si="5"/>
        <v>0</v>
      </c>
      <c r="O22" s="319">
        <f t="shared" si="0"/>
        <v>0</v>
      </c>
      <c r="P22" s="319">
        <f t="shared" si="1"/>
        <v>0</v>
      </c>
      <c r="Q22" s="319">
        <f t="shared" si="2"/>
        <v>0</v>
      </c>
      <c r="R22" s="319">
        <f t="shared" si="3"/>
        <v>0</v>
      </c>
      <c r="S22" s="430">
        <f t="shared" si="4"/>
        <v>0</v>
      </c>
    </row>
    <row r="23" spans="1:19">
      <c r="A23" s="1">
        <v>16</v>
      </c>
      <c r="B23" s="551"/>
      <c r="C23" s="552"/>
      <c r="D23" s="552"/>
      <c r="E23" s="552"/>
      <c r="F23" s="558"/>
      <c r="G23" s="554">
        <f t="shared" si="6"/>
        <v>0</v>
      </c>
      <c r="M23" s="368"/>
      <c r="N23" s="429">
        <f t="shared" si="5"/>
        <v>0</v>
      </c>
      <c r="O23" s="319">
        <f t="shared" si="0"/>
        <v>0</v>
      </c>
      <c r="P23" s="319">
        <f t="shared" si="1"/>
        <v>0</v>
      </c>
      <c r="Q23" s="319">
        <f t="shared" si="2"/>
        <v>0</v>
      </c>
      <c r="R23" s="319">
        <f t="shared" si="3"/>
        <v>0</v>
      </c>
      <c r="S23" s="430">
        <f t="shared" si="4"/>
        <v>0</v>
      </c>
    </row>
    <row r="24" spans="1:19">
      <c r="A24" s="1">
        <v>17</v>
      </c>
      <c r="B24" s="551"/>
      <c r="C24" s="552"/>
      <c r="D24" s="552"/>
      <c r="E24" s="552"/>
      <c r="F24" s="558"/>
      <c r="G24" s="554">
        <f t="shared" si="6"/>
        <v>0</v>
      </c>
      <c r="M24" s="368"/>
      <c r="N24" s="429">
        <f t="shared" si="5"/>
        <v>0</v>
      </c>
      <c r="O24" s="319">
        <f t="shared" si="0"/>
        <v>0</v>
      </c>
      <c r="P24" s="319">
        <f t="shared" si="1"/>
        <v>0</v>
      </c>
      <c r="Q24" s="319">
        <f t="shared" si="2"/>
        <v>0</v>
      </c>
      <c r="R24" s="319">
        <f t="shared" si="3"/>
        <v>0</v>
      </c>
      <c r="S24" s="430">
        <f t="shared" si="4"/>
        <v>0</v>
      </c>
    </row>
    <row r="25" spans="1:19">
      <c r="A25" s="1">
        <v>18</v>
      </c>
      <c r="B25" s="551"/>
      <c r="C25" s="552"/>
      <c r="D25" s="552"/>
      <c r="E25" s="552"/>
      <c r="F25" s="558"/>
      <c r="G25" s="554">
        <f t="shared" si="6"/>
        <v>0</v>
      </c>
      <c r="M25" s="368"/>
      <c r="N25" s="429">
        <f t="shared" si="5"/>
        <v>0</v>
      </c>
      <c r="O25" s="319">
        <f t="shared" si="0"/>
        <v>0</v>
      </c>
      <c r="P25" s="319">
        <f t="shared" si="1"/>
        <v>0</v>
      </c>
      <c r="Q25" s="319">
        <f t="shared" si="2"/>
        <v>0</v>
      </c>
      <c r="R25" s="319">
        <f t="shared" si="3"/>
        <v>0</v>
      </c>
      <c r="S25" s="430">
        <f t="shared" si="4"/>
        <v>0</v>
      </c>
    </row>
    <row r="26" spans="1:19">
      <c r="A26" s="1">
        <v>19</v>
      </c>
      <c r="B26" s="551"/>
      <c r="C26" s="552"/>
      <c r="D26" s="552"/>
      <c r="E26" s="552"/>
      <c r="F26" s="558"/>
      <c r="G26" s="554">
        <f t="shared" si="6"/>
        <v>0</v>
      </c>
      <c r="M26" s="368"/>
      <c r="N26" s="429">
        <f t="shared" si="5"/>
        <v>0</v>
      </c>
      <c r="O26" s="319">
        <f t="shared" si="0"/>
        <v>0</v>
      </c>
      <c r="P26" s="319">
        <f t="shared" si="1"/>
        <v>0</v>
      </c>
      <c r="Q26" s="319">
        <f t="shared" si="2"/>
        <v>0</v>
      </c>
      <c r="R26" s="319">
        <f t="shared" si="3"/>
        <v>0</v>
      </c>
      <c r="S26" s="430">
        <f t="shared" si="4"/>
        <v>0</v>
      </c>
    </row>
    <row r="27" spans="1:19">
      <c r="A27" s="1">
        <v>20</v>
      </c>
      <c r="B27" s="551"/>
      <c r="C27" s="552"/>
      <c r="D27" s="552"/>
      <c r="E27" s="552"/>
      <c r="F27" s="558"/>
      <c r="G27" s="554">
        <f t="shared" si="6"/>
        <v>0</v>
      </c>
      <c r="M27" s="368"/>
      <c r="N27" s="429">
        <f t="shared" si="5"/>
        <v>0</v>
      </c>
      <c r="O27" s="319">
        <f t="shared" si="0"/>
        <v>0</v>
      </c>
      <c r="P27" s="319">
        <f t="shared" si="1"/>
        <v>0</v>
      </c>
      <c r="Q27" s="319">
        <f t="shared" si="2"/>
        <v>0</v>
      </c>
      <c r="R27" s="319">
        <f t="shared" si="3"/>
        <v>0</v>
      </c>
      <c r="S27" s="430">
        <f t="shared" si="4"/>
        <v>0</v>
      </c>
    </row>
    <row r="28" spans="1:19">
      <c r="A28" s="1">
        <v>21</v>
      </c>
      <c r="B28" s="551"/>
      <c r="C28" s="552"/>
      <c r="D28" s="552"/>
      <c r="E28" s="552"/>
      <c r="F28" s="558"/>
      <c r="G28" s="554">
        <f t="shared" si="6"/>
        <v>0</v>
      </c>
      <c r="M28" s="368"/>
      <c r="N28" s="429">
        <f t="shared" si="5"/>
        <v>0</v>
      </c>
      <c r="O28" s="319">
        <f t="shared" si="0"/>
        <v>0</v>
      </c>
      <c r="P28" s="319">
        <f t="shared" si="1"/>
        <v>0</v>
      </c>
      <c r="Q28" s="319">
        <f t="shared" si="2"/>
        <v>0</v>
      </c>
      <c r="R28" s="319">
        <f t="shared" si="3"/>
        <v>0</v>
      </c>
      <c r="S28" s="430">
        <f t="shared" si="4"/>
        <v>0</v>
      </c>
    </row>
    <row r="29" spans="1:19">
      <c r="A29" s="1">
        <v>22</v>
      </c>
      <c r="B29" s="551"/>
      <c r="C29" s="552"/>
      <c r="D29" s="552"/>
      <c r="E29" s="552"/>
      <c r="F29" s="558"/>
      <c r="G29" s="554">
        <f t="shared" si="6"/>
        <v>0</v>
      </c>
      <c r="M29" s="368"/>
      <c r="N29" s="429">
        <f t="shared" si="5"/>
        <v>0</v>
      </c>
      <c r="O29" s="319">
        <f t="shared" si="0"/>
        <v>0</v>
      </c>
      <c r="P29" s="319">
        <f t="shared" si="1"/>
        <v>0</v>
      </c>
      <c r="Q29" s="319">
        <f t="shared" si="2"/>
        <v>0</v>
      </c>
      <c r="R29" s="319">
        <f t="shared" si="3"/>
        <v>0</v>
      </c>
      <c r="S29" s="430">
        <f t="shared" si="4"/>
        <v>0</v>
      </c>
    </row>
    <row r="30" spans="1:19">
      <c r="A30" s="1">
        <v>23</v>
      </c>
      <c r="B30" s="551"/>
      <c r="C30" s="552"/>
      <c r="D30" s="552"/>
      <c r="E30" s="552"/>
      <c r="F30" s="558"/>
      <c r="G30" s="554">
        <f t="shared" si="6"/>
        <v>0</v>
      </c>
      <c r="M30" s="368"/>
      <c r="N30" s="429">
        <f t="shared" si="5"/>
        <v>0</v>
      </c>
      <c r="O30" s="319">
        <f t="shared" si="0"/>
        <v>0</v>
      </c>
      <c r="P30" s="319">
        <f t="shared" si="1"/>
        <v>0</v>
      </c>
      <c r="Q30" s="319">
        <f t="shared" si="2"/>
        <v>0</v>
      </c>
      <c r="R30" s="319">
        <f t="shared" si="3"/>
        <v>0</v>
      </c>
      <c r="S30" s="430">
        <f t="shared" si="4"/>
        <v>0</v>
      </c>
    </row>
    <row r="31" spans="1:19">
      <c r="A31" s="1">
        <v>24</v>
      </c>
      <c r="B31" s="551"/>
      <c r="C31" s="552"/>
      <c r="D31" s="552"/>
      <c r="E31" s="552"/>
      <c r="F31" s="558"/>
      <c r="G31" s="554">
        <f t="shared" si="6"/>
        <v>0</v>
      </c>
      <c r="M31" s="368"/>
      <c r="N31" s="429">
        <f t="shared" si="5"/>
        <v>0</v>
      </c>
      <c r="O31" s="319">
        <f t="shared" si="0"/>
        <v>0</v>
      </c>
      <c r="P31" s="319">
        <f t="shared" si="1"/>
        <v>0</v>
      </c>
      <c r="Q31" s="319">
        <f t="shared" si="2"/>
        <v>0</v>
      </c>
      <c r="R31" s="319">
        <f t="shared" si="3"/>
        <v>0</v>
      </c>
      <c r="S31" s="430">
        <f t="shared" si="4"/>
        <v>0</v>
      </c>
    </row>
    <row r="32" spans="1:19">
      <c r="A32" s="1">
        <v>25</v>
      </c>
      <c r="B32" s="551"/>
      <c r="C32" s="552"/>
      <c r="D32" s="552"/>
      <c r="E32" s="552"/>
      <c r="F32" s="558"/>
      <c r="G32" s="554">
        <f t="shared" si="6"/>
        <v>0</v>
      </c>
      <c r="M32" s="368"/>
      <c r="N32" s="429">
        <f t="shared" si="5"/>
        <v>0</v>
      </c>
      <c r="O32" s="319">
        <f t="shared" si="0"/>
        <v>0</v>
      </c>
      <c r="P32" s="319">
        <f t="shared" si="1"/>
        <v>0</v>
      </c>
      <c r="Q32" s="319">
        <f t="shared" si="2"/>
        <v>0</v>
      </c>
      <c r="R32" s="319">
        <f t="shared" si="3"/>
        <v>0</v>
      </c>
      <c r="S32" s="430">
        <f t="shared" si="4"/>
        <v>0</v>
      </c>
    </row>
    <row r="33" spans="1:19">
      <c r="A33" s="1">
        <v>26</v>
      </c>
      <c r="B33" s="551"/>
      <c r="C33" s="552"/>
      <c r="D33" s="552"/>
      <c r="E33" s="552"/>
      <c r="F33" s="558"/>
      <c r="G33" s="554">
        <f t="shared" si="6"/>
        <v>0</v>
      </c>
      <c r="M33" s="368"/>
      <c r="N33" s="429">
        <f t="shared" si="5"/>
        <v>0</v>
      </c>
      <c r="O33" s="319">
        <f t="shared" si="0"/>
        <v>0</v>
      </c>
      <c r="P33" s="319">
        <f t="shared" si="1"/>
        <v>0</v>
      </c>
      <c r="Q33" s="319">
        <f t="shared" si="2"/>
        <v>0</v>
      </c>
      <c r="R33" s="319">
        <f t="shared" si="3"/>
        <v>0</v>
      </c>
      <c r="S33" s="430">
        <f t="shared" si="4"/>
        <v>0</v>
      </c>
    </row>
    <row r="34" spans="1:19">
      <c r="A34" s="1">
        <v>27</v>
      </c>
      <c r="B34" s="551"/>
      <c r="C34" s="552"/>
      <c r="D34" s="552"/>
      <c r="E34" s="552"/>
      <c r="F34" s="558"/>
      <c r="G34" s="554">
        <f t="shared" si="6"/>
        <v>0</v>
      </c>
      <c r="M34" s="368"/>
      <c r="N34" s="429">
        <f t="shared" si="5"/>
        <v>0</v>
      </c>
      <c r="O34" s="319">
        <f t="shared" si="0"/>
        <v>0</v>
      </c>
      <c r="P34" s="319">
        <f t="shared" si="1"/>
        <v>0</v>
      </c>
      <c r="Q34" s="319">
        <f t="shared" si="2"/>
        <v>0</v>
      </c>
      <c r="R34" s="319">
        <f t="shared" si="3"/>
        <v>0</v>
      </c>
      <c r="S34" s="430">
        <f t="shared" si="4"/>
        <v>0</v>
      </c>
    </row>
    <row r="35" spans="1:19">
      <c r="A35" s="1">
        <v>28</v>
      </c>
      <c r="B35" s="551"/>
      <c r="C35" s="552"/>
      <c r="D35" s="552"/>
      <c r="E35" s="552"/>
      <c r="F35" s="558"/>
      <c r="G35" s="554">
        <f t="shared" si="6"/>
        <v>0</v>
      </c>
      <c r="M35" s="368"/>
      <c r="N35" s="429">
        <f t="shared" si="5"/>
        <v>0</v>
      </c>
      <c r="O35" s="319">
        <f t="shared" si="0"/>
        <v>0</v>
      </c>
      <c r="P35" s="319">
        <f t="shared" si="1"/>
        <v>0</v>
      </c>
      <c r="Q35" s="319">
        <f t="shared" si="2"/>
        <v>0</v>
      </c>
      <c r="R35" s="319">
        <f t="shared" si="3"/>
        <v>0</v>
      </c>
      <c r="S35" s="430">
        <f t="shared" si="4"/>
        <v>0</v>
      </c>
    </row>
    <row r="36" spans="1:19">
      <c r="A36" s="1">
        <v>29</v>
      </c>
      <c r="B36" s="551"/>
      <c r="C36" s="552"/>
      <c r="D36" s="552"/>
      <c r="E36" s="552"/>
      <c r="F36" s="558"/>
      <c r="G36" s="554">
        <f t="shared" si="6"/>
        <v>0</v>
      </c>
      <c r="M36" s="368"/>
      <c r="N36" s="429">
        <f t="shared" si="5"/>
        <v>0</v>
      </c>
      <c r="O36" s="319">
        <f t="shared" si="0"/>
        <v>0</v>
      </c>
      <c r="P36" s="319">
        <f t="shared" si="1"/>
        <v>0</v>
      </c>
      <c r="Q36" s="319">
        <f t="shared" si="2"/>
        <v>0</v>
      </c>
      <c r="R36" s="319">
        <f t="shared" si="3"/>
        <v>0</v>
      </c>
      <c r="S36" s="430">
        <f t="shared" si="4"/>
        <v>0</v>
      </c>
    </row>
    <row r="37" spans="1:19">
      <c r="A37" s="1">
        <v>30</v>
      </c>
      <c r="B37" s="551"/>
      <c r="C37" s="552"/>
      <c r="D37" s="552"/>
      <c r="E37" s="552"/>
      <c r="F37" s="558"/>
      <c r="G37" s="554">
        <f t="shared" si="6"/>
        <v>0</v>
      </c>
      <c r="M37" s="368"/>
      <c r="N37" s="429">
        <f t="shared" si="5"/>
        <v>0</v>
      </c>
      <c r="O37" s="319">
        <f t="shared" si="0"/>
        <v>0</v>
      </c>
      <c r="P37" s="319">
        <f t="shared" si="1"/>
        <v>0</v>
      </c>
      <c r="Q37" s="319">
        <f t="shared" si="2"/>
        <v>0</v>
      </c>
      <c r="R37" s="319">
        <f t="shared" si="3"/>
        <v>0</v>
      </c>
      <c r="S37" s="430">
        <f t="shared" si="4"/>
        <v>0</v>
      </c>
    </row>
    <row r="38" spans="1:19">
      <c r="A38" s="1">
        <v>31</v>
      </c>
      <c r="B38" s="551"/>
      <c r="C38" s="552"/>
      <c r="D38" s="552"/>
      <c r="E38" s="552"/>
      <c r="F38" s="558"/>
      <c r="G38" s="554">
        <f t="shared" si="6"/>
        <v>0</v>
      </c>
      <c r="M38" s="368"/>
      <c r="N38" s="429">
        <f t="shared" si="5"/>
        <v>0</v>
      </c>
      <c r="O38" s="319">
        <f t="shared" si="0"/>
        <v>0</v>
      </c>
      <c r="P38" s="319">
        <f t="shared" si="1"/>
        <v>0</v>
      </c>
      <c r="Q38" s="319">
        <f t="shared" si="2"/>
        <v>0</v>
      </c>
      <c r="R38" s="319">
        <f t="shared" si="3"/>
        <v>0</v>
      </c>
      <c r="S38" s="430">
        <f t="shared" si="4"/>
        <v>0</v>
      </c>
    </row>
    <row r="39" spans="1:19">
      <c r="A39" s="1">
        <v>32</v>
      </c>
      <c r="B39" s="551"/>
      <c r="C39" s="552"/>
      <c r="D39" s="552"/>
      <c r="E39" s="552"/>
      <c r="F39" s="558"/>
      <c r="G39" s="554">
        <f t="shared" si="6"/>
        <v>0</v>
      </c>
      <c r="M39" s="368"/>
      <c r="N39" s="429">
        <f t="shared" si="5"/>
        <v>0</v>
      </c>
      <c r="O39" s="319">
        <f t="shared" si="0"/>
        <v>0</v>
      </c>
      <c r="P39" s="319">
        <f t="shared" si="1"/>
        <v>0</v>
      </c>
      <c r="Q39" s="319">
        <f t="shared" si="2"/>
        <v>0</v>
      </c>
      <c r="R39" s="319">
        <f t="shared" si="3"/>
        <v>0</v>
      </c>
      <c r="S39" s="430">
        <f t="shared" si="4"/>
        <v>0</v>
      </c>
    </row>
    <row r="40" spans="1:19">
      <c r="A40" s="1">
        <v>33</v>
      </c>
      <c r="B40" s="551"/>
      <c r="C40" s="552"/>
      <c r="D40" s="552"/>
      <c r="E40" s="552"/>
      <c r="F40" s="558"/>
      <c r="G40" s="554">
        <f t="shared" si="6"/>
        <v>0</v>
      </c>
      <c r="M40" s="479"/>
      <c r="N40" s="429">
        <f t="shared" ref="N40:N58" si="7">IF($D40="",0,($G40*(VLOOKUP($D40,lookup_healthsystemlevels,N$5,FALSE))))</f>
        <v>0</v>
      </c>
      <c r="O40" s="319">
        <f t="shared" ref="O40:O58" si="8">IF($D40="",0,(($G40*(1+inflation_rate))*(VLOOKUP($D40,lookup_healthsystemlevels,O$5,FALSE))))</f>
        <v>0</v>
      </c>
      <c r="P40" s="319">
        <f t="shared" ref="P40:P58" si="9">IF($D40="",0,(($G40*(1+inflation_rate)^2))*(VLOOKUP($D40,lookup_healthsystemlevels,P$5,FALSE)))</f>
        <v>0</v>
      </c>
      <c r="Q40" s="319">
        <f t="shared" ref="Q40:Q58" si="10">IF($D40="",0,(($G40*(1+inflation_rate)^3))*(VLOOKUP($D40,lookup_healthsystemlevels,Q$5,FALSE)))</f>
        <v>0</v>
      </c>
      <c r="R40" s="319">
        <f t="shared" ref="R40:R58" si="11">IF($D40="",0,(($G40*(1+inflation_rate)^4))*(VLOOKUP($D40,lookup_healthsystemlevels,R$5,FALSE)))</f>
        <v>0</v>
      </c>
      <c r="S40" s="430">
        <f t="shared" ref="S40:S58" si="12">IF($D40="",0,(($G40*(1+inflation_rate)^5))*(VLOOKUP($D40,lookup_healthsystemlevels,S$5,FALSE)))</f>
        <v>0</v>
      </c>
    </row>
    <row r="41" spans="1:19">
      <c r="A41" s="1">
        <v>34</v>
      </c>
      <c r="B41" s="551"/>
      <c r="C41" s="552"/>
      <c r="D41" s="552"/>
      <c r="E41" s="552"/>
      <c r="F41" s="558"/>
      <c r="G41" s="554">
        <f t="shared" si="6"/>
        <v>0</v>
      </c>
      <c r="M41" s="368"/>
      <c r="N41" s="429">
        <f t="shared" si="7"/>
        <v>0</v>
      </c>
      <c r="O41" s="319">
        <f t="shared" si="8"/>
        <v>0</v>
      </c>
      <c r="P41" s="319">
        <f t="shared" si="9"/>
        <v>0</v>
      </c>
      <c r="Q41" s="319">
        <f t="shared" si="10"/>
        <v>0</v>
      </c>
      <c r="R41" s="319">
        <f t="shared" si="11"/>
        <v>0</v>
      </c>
      <c r="S41" s="430">
        <f t="shared" si="12"/>
        <v>0</v>
      </c>
    </row>
    <row r="42" spans="1:19">
      <c r="A42" s="1">
        <v>35</v>
      </c>
      <c r="B42" s="551"/>
      <c r="C42" s="552"/>
      <c r="D42" s="552"/>
      <c r="E42" s="552"/>
      <c r="F42" s="558"/>
      <c r="G42" s="554">
        <f t="shared" si="6"/>
        <v>0</v>
      </c>
      <c r="M42" s="368"/>
      <c r="N42" s="429">
        <f t="shared" si="7"/>
        <v>0</v>
      </c>
      <c r="O42" s="319">
        <f t="shared" si="8"/>
        <v>0</v>
      </c>
      <c r="P42" s="319">
        <f t="shared" si="9"/>
        <v>0</v>
      </c>
      <c r="Q42" s="319">
        <f t="shared" si="10"/>
        <v>0</v>
      </c>
      <c r="R42" s="319">
        <f t="shared" si="11"/>
        <v>0</v>
      </c>
      <c r="S42" s="430">
        <f t="shared" si="12"/>
        <v>0</v>
      </c>
    </row>
    <row r="43" spans="1:19">
      <c r="A43" s="1">
        <v>36</v>
      </c>
      <c r="B43" s="551"/>
      <c r="C43" s="552"/>
      <c r="D43" s="552"/>
      <c r="E43" s="552"/>
      <c r="F43" s="558"/>
      <c r="G43" s="554">
        <f t="shared" si="6"/>
        <v>0</v>
      </c>
      <c r="M43" s="368"/>
      <c r="N43" s="429">
        <f t="shared" si="7"/>
        <v>0</v>
      </c>
      <c r="O43" s="319">
        <f t="shared" si="8"/>
        <v>0</v>
      </c>
      <c r="P43" s="319">
        <f t="shared" si="9"/>
        <v>0</v>
      </c>
      <c r="Q43" s="319">
        <f t="shared" si="10"/>
        <v>0</v>
      </c>
      <c r="R43" s="319">
        <f t="shared" si="11"/>
        <v>0</v>
      </c>
      <c r="S43" s="430">
        <f t="shared" si="12"/>
        <v>0</v>
      </c>
    </row>
    <row r="44" spans="1:19">
      <c r="A44" s="1">
        <v>37</v>
      </c>
      <c r="B44" s="551"/>
      <c r="C44" s="552"/>
      <c r="D44" s="552"/>
      <c r="E44" s="552"/>
      <c r="F44" s="558"/>
      <c r="G44" s="554">
        <f t="shared" si="6"/>
        <v>0</v>
      </c>
      <c r="M44" s="368"/>
      <c r="N44" s="429">
        <f t="shared" si="7"/>
        <v>0</v>
      </c>
      <c r="O44" s="319">
        <f t="shared" si="8"/>
        <v>0</v>
      </c>
      <c r="P44" s="319">
        <f t="shared" si="9"/>
        <v>0</v>
      </c>
      <c r="Q44" s="319">
        <f t="shared" si="10"/>
        <v>0</v>
      </c>
      <c r="R44" s="319">
        <f t="shared" si="11"/>
        <v>0</v>
      </c>
      <c r="S44" s="430">
        <f t="shared" si="12"/>
        <v>0</v>
      </c>
    </row>
    <row r="45" spans="1:19">
      <c r="A45" s="1">
        <v>38</v>
      </c>
      <c r="B45" s="551"/>
      <c r="C45" s="552"/>
      <c r="D45" s="552"/>
      <c r="E45" s="552"/>
      <c r="F45" s="558"/>
      <c r="G45" s="554">
        <f t="shared" si="6"/>
        <v>0</v>
      </c>
      <c r="M45" s="368"/>
      <c r="N45" s="429">
        <f t="shared" si="7"/>
        <v>0</v>
      </c>
      <c r="O45" s="319">
        <f t="shared" si="8"/>
        <v>0</v>
      </c>
      <c r="P45" s="319">
        <f t="shared" si="9"/>
        <v>0</v>
      </c>
      <c r="Q45" s="319">
        <f t="shared" si="10"/>
        <v>0</v>
      </c>
      <c r="R45" s="319">
        <f t="shared" si="11"/>
        <v>0</v>
      </c>
      <c r="S45" s="430">
        <f t="shared" si="12"/>
        <v>0</v>
      </c>
    </row>
    <row r="46" spans="1:19">
      <c r="A46" s="1">
        <v>39</v>
      </c>
      <c r="B46" s="551"/>
      <c r="C46" s="552"/>
      <c r="D46" s="552"/>
      <c r="E46" s="552"/>
      <c r="F46" s="558"/>
      <c r="G46" s="554">
        <f t="shared" si="6"/>
        <v>0</v>
      </c>
      <c r="M46" s="368"/>
      <c r="N46" s="429">
        <f t="shared" si="7"/>
        <v>0</v>
      </c>
      <c r="O46" s="319">
        <f t="shared" si="8"/>
        <v>0</v>
      </c>
      <c r="P46" s="319">
        <f t="shared" si="9"/>
        <v>0</v>
      </c>
      <c r="Q46" s="319">
        <f t="shared" si="10"/>
        <v>0</v>
      </c>
      <c r="R46" s="319">
        <f t="shared" si="11"/>
        <v>0</v>
      </c>
      <c r="S46" s="430">
        <f t="shared" si="12"/>
        <v>0</v>
      </c>
    </row>
    <row r="47" spans="1:19">
      <c r="A47" s="1">
        <v>40</v>
      </c>
      <c r="B47" s="551"/>
      <c r="C47" s="552"/>
      <c r="D47" s="552"/>
      <c r="E47" s="552"/>
      <c r="F47" s="558"/>
      <c r="G47" s="554">
        <f t="shared" si="6"/>
        <v>0</v>
      </c>
      <c r="M47" s="368"/>
      <c r="N47" s="429">
        <f t="shared" si="7"/>
        <v>0</v>
      </c>
      <c r="O47" s="319">
        <f t="shared" si="8"/>
        <v>0</v>
      </c>
      <c r="P47" s="319">
        <f t="shared" si="9"/>
        <v>0</v>
      </c>
      <c r="Q47" s="319">
        <f t="shared" si="10"/>
        <v>0</v>
      </c>
      <c r="R47" s="319">
        <f t="shared" si="11"/>
        <v>0</v>
      </c>
      <c r="S47" s="430">
        <f t="shared" si="12"/>
        <v>0</v>
      </c>
    </row>
    <row r="48" spans="1:19">
      <c r="A48" s="1">
        <v>41</v>
      </c>
      <c r="B48" s="551"/>
      <c r="C48" s="552"/>
      <c r="D48" s="552"/>
      <c r="E48" s="552"/>
      <c r="F48" s="558"/>
      <c r="G48" s="554">
        <f t="shared" si="6"/>
        <v>0</v>
      </c>
      <c r="M48" s="368"/>
      <c r="N48" s="429">
        <f t="shared" si="7"/>
        <v>0</v>
      </c>
      <c r="O48" s="319">
        <f t="shared" si="8"/>
        <v>0</v>
      </c>
      <c r="P48" s="319">
        <f t="shared" si="9"/>
        <v>0</v>
      </c>
      <c r="Q48" s="319">
        <f t="shared" si="10"/>
        <v>0</v>
      </c>
      <c r="R48" s="319">
        <f t="shared" si="11"/>
        <v>0</v>
      </c>
      <c r="S48" s="430">
        <f t="shared" si="12"/>
        <v>0</v>
      </c>
    </row>
    <row r="49" spans="1:19">
      <c r="A49" s="1">
        <v>42</v>
      </c>
      <c r="B49" s="551"/>
      <c r="C49" s="552"/>
      <c r="D49" s="552"/>
      <c r="E49" s="552"/>
      <c r="F49" s="558"/>
      <c r="G49" s="554">
        <f t="shared" si="6"/>
        <v>0</v>
      </c>
      <c r="M49" s="368"/>
      <c r="N49" s="429">
        <f t="shared" si="7"/>
        <v>0</v>
      </c>
      <c r="O49" s="319">
        <f t="shared" si="8"/>
        <v>0</v>
      </c>
      <c r="P49" s="319">
        <f t="shared" si="9"/>
        <v>0</v>
      </c>
      <c r="Q49" s="319">
        <f t="shared" si="10"/>
        <v>0</v>
      </c>
      <c r="R49" s="319">
        <f t="shared" si="11"/>
        <v>0</v>
      </c>
      <c r="S49" s="430">
        <f t="shared" si="12"/>
        <v>0</v>
      </c>
    </row>
    <row r="50" spans="1:19">
      <c r="A50" s="1">
        <v>43</v>
      </c>
      <c r="B50" s="551"/>
      <c r="C50" s="552"/>
      <c r="D50" s="552"/>
      <c r="E50" s="552"/>
      <c r="F50" s="558"/>
      <c r="G50" s="554">
        <f t="shared" si="6"/>
        <v>0</v>
      </c>
      <c r="M50" s="368"/>
      <c r="N50" s="429">
        <f t="shared" si="7"/>
        <v>0</v>
      </c>
      <c r="O50" s="319">
        <f t="shared" si="8"/>
        <v>0</v>
      </c>
      <c r="P50" s="319">
        <f t="shared" si="9"/>
        <v>0</v>
      </c>
      <c r="Q50" s="319">
        <f t="shared" si="10"/>
        <v>0</v>
      </c>
      <c r="R50" s="319">
        <f t="shared" si="11"/>
        <v>0</v>
      </c>
      <c r="S50" s="430">
        <f t="shared" si="12"/>
        <v>0</v>
      </c>
    </row>
    <row r="51" spans="1:19">
      <c r="A51" s="1">
        <v>44</v>
      </c>
      <c r="B51" s="551"/>
      <c r="C51" s="552"/>
      <c r="D51" s="552"/>
      <c r="E51" s="552"/>
      <c r="F51" s="558"/>
      <c r="G51" s="554">
        <f t="shared" si="6"/>
        <v>0</v>
      </c>
      <c r="M51" s="368"/>
      <c r="N51" s="429">
        <f t="shared" si="7"/>
        <v>0</v>
      </c>
      <c r="O51" s="319">
        <f t="shared" si="8"/>
        <v>0</v>
      </c>
      <c r="P51" s="319">
        <f t="shared" si="9"/>
        <v>0</v>
      </c>
      <c r="Q51" s="319">
        <f t="shared" si="10"/>
        <v>0</v>
      </c>
      <c r="R51" s="319">
        <f t="shared" si="11"/>
        <v>0</v>
      </c>
      <c r="S51" s="430">
        <f t="shared" si="12"/>
        <v>0</v>
      </c>
    </row>
    <row r="52" spans="1:19">
      <c r="A52" s="1">
        <v>45</v>
      </c>
      <c r="B52" s="551"/>
      <c r="C52" s="552"/>
      <c r="D52" s="552"/>
      <c r="E52" s="552"/>
      <c r="F52" s="558"/>
      <c r="G52" s="554">
        <f t="shared" si="6"/>
        <v>0</v>
      </c>
      <c r="M52" s="368"/>
      <c r="N52" s="429">
        <f t="shared" si="7"/>
        <v>0</v>
      </c>
      <c r="O52" s="319">
        <f t="shared" si="8"/>
        <v>0</v>
      </c>
      <c r="P52" s="319">
        <f t="shared" si="9"/>
        <v>0</v>
      </c>
      <c r="Q52" s="319">
        <f t="shared" si="10"/>
        <v>0</v>
      </c>
      <c r="R52" s="319">
        <f t="shared" si="11"/>
        <v>0</v>
      </c>
      <c r="S52" s="430">
        <f t="shared" si="12"/>
        <v>0</v>
      </c>
    </row>
    <row r="53" spans="1:19">
      <c r="A53" s="1">
        <v>46</v>
      </c>
      <c r="B53" s="551"/>
      <c r="C53" s="552"/>
      <c r="D53" s="552"/>
      <c r="E53" s="552"/>
      <c r="F53" s="558"/>
      <c r="G53" s="554">
        <f t="shared" si="6"/>
        <v>0</v>
      </c>
      <c r="M53" s="368"/>
      <c r="N53" s="429">
        <f t="shared" si="7"/>
        <v>0</v>
      </c>
      <c r="O53" s="319">
        <f t="shared" si="8"/>
        <v>0</v>
      </c>
      <c r="P53" s="319">
        <f t="shared" si="9"/>
        <v>0</v>
      </c>
      <c r="Q53" s="319">
        <f t="shared" si="10"/>
        <v>0</v>
      </c>
      <c r="R53" s="319">
        <f t="shared" si="11"/>
        <v>0</v>
      </c>
      <c r="S53" s="430">
        <f t="shared" si="12"/>
        <v>0</v>
      </c>
    </row>
    <row r="54" spans="1:19">
      <c r="A54" s="1">
        <v>47</v>
      </c>
      <c r="B54" s="551"/>
      <c r="C54" s="552"/>
      <c r="D54" s="552"/>
      <c r="E54" s="552"/>
      <c r="F54" s="558"/>
      <c r="G54" s="554">
        <f t="shared" si="6"/>
        <v>0</v>
      </c>
      <c r="M54" s="368"/>
      <c r="N54" s="429">
        <f t="shared" si="7"/>
        <v>0</v>
      </c>
      <c r="O54" s="319">
        <f t="shared" si="8"/>
        <v>0</v>
      </c>
      <c r="P54" s="319">
        <f t="shared" si="9"/>
        <v>0</v>
      </c>
      <c r="Q54" s="319">
        <f t="shared" si="10"/>
        <v>0</v>
      </c>
      <c r="R54" s="319">
        <f t="shared" si="11"/>
        <v>0</v>
      </c>
      <c r="S54" s="430">
        <f t="shared" si="12"/>
        <v>0</v>
      </c>
    </row>
    <row r="55" spans="1:19">
      <c r="A55" s="1">
        <v>48</v>
      </c>
      <c r="B55" s="551"/>
      <c r="C55" s="552"/>
      <c r="D55" s="552"/>
      <c r="E55" s="552"/>
      <c r="F55" s="558"/>
      <c r="G55" s="554">
        <f t="shared" si="6"/>
        <v>0</v>
      </c>
      <c r="M55" s="368"/>
      <c r="N55" s="429">
        <f t="shared" si="7"/>
        <v>0</v>
      </c>
      <c r="O55" s="319">
        <f t="shared" si="8"/>
        <v>0</v>
      </c>
      <c r="P55" s="319">
        <f t="shared" si="9"/>
        <v>0</v>
      </c>
      <c r="Q55" s="319">
        <f t="shared" si="10"/>
        <v>0</v>
      </c>
      <c r="R55" s="319">
        <f t="shared" si="11"/>
        <v>0</v>
      </c>
      <c r="S55" s="430">
        <f t="shared" si="12"/>
        <v>0</v>
      </c>
    </row>
    <row r="56" spans="1:19">
      <c r="A56" s="1">
        <v>49</v>
      </c>
      <c r="B56" s="551"/>
      <c r="C56" s="552"/>
      <c r="D56" s="552"/>
      <c r="E56" s="552"/>
      <c r="F56" s="558"/>
      <c r="G56" s="554">
        <f t="shared" si="6"/>
        <v>0</v>
      </c>
      <c r="M56" s="368"/>
      <c r="N56" s="429">
        <f t="shared" si="7"/>
        <v>0</v>
      </c>
      <c r="O56" s="319">
        <f t="shared" si="8"/>
        <v>0</v>
      </c>
      <c r="P56" s="319">
        <f t="shared" si="9"/>
        <v>0</v>
      </c>
      <c r="Q56" s="319">
        <f t="shared" si="10"/>
        <v>0</v>
      </c>
      <c r="R56" s="319">
        <f t="shared" si="11"/>
        <v>0</v>
      </c>
      <c r="S56" s="430">
        <f t="shared" si="12"/>
        <v>0</v>
      </c>
    </row>
    <row r="57" spans="1:19">
      <c r="A57" s="1">
        <v>50</v>
      </c>
      <c r="B57" s="551"/>
      <c r="C57" s="552"/>
      <c r="D57" s="552"/>
      <c r="E57" s="552"/>
      <c r="F57" s="558"/>
      <c r="G57" s="554">
        <f t="shared" si="6"/>
        <v>0</v>
      </c>
      <c r="M57" s="368"/>
      <c r="N57" s="429">
        <f t="shared" si="7"/>
        <v>0</v>
      </c>
      <c r="O57" s="319">
        <f t="shared" si="8"/>
        <v>0</v>
      </c>
      <c r="P57" s="319">
        <f t="shared" si="9"/>
        <v>0</v>
      </c>
      <c r="Q57" s="319">
        <f t="shared" si="10"/>
        <v>0</v>
      </c>
      <c r="R57" s="319">
        <f t="shared" si="11"/>
        <v>0</v>
      </c>
      <c r="S57" s="430">
        <f t="shared" si="12"/>
        <v>0</v>
      </c>
    </row>
    <row r="58" spans="1:19">
      <c r="A58" s="1">
        <v>51</v>
      </c>
      <c r="B58" s="559"/>
      <c r="C58" s="560"/>
      <c r="D58" s="560"/>
      <c r="E58" s="560"/>
      <c r="F58" s="561"/>
      <c r="G58" s="562">
        <f t="shared" si="6"/>
        <v>0</v>
      </c>
      <c r="M58" s="368"/>
      <c r="N58" s="431">
        <f t="shared" si="7"/>
        <v>0</v>
      </c>
      <c r="O58" s="432">
        <f t="shared" si="8"/>
        <v>0</v>
      </c>
      <c r="P58" s="432">
        <f t="shared" si="9"/>
        <v>0</v>
      </c>
      <c r="Q58" s="432">
        <f t="shared" si="10"/>
        <v>0</v>
      </c>
      <c r="R58" s="432">
        <f t="shared" si="11"/>
        <v>0</v>
      </c>
      <c r="S58" s="433">
        <f t="shared" si="12"/>
        <v>0</v>
      </c>
    </row>
    <row r="59" spans="1:19">
      <c r="M59" s="368"/>
      <c r="N59" s="368"/>
      <c r="O59" s="368"/>
      <c r="P59" s="368"/>
      <c r="Q59" s="368"/>
      <c r="R59" s="368"/>
      <c r="S59" s="368"/>
    </row>
    <row r="60" spans="1:19">
      <c r="N60" s="563">
        <f>SUM(N8:N58)</f>
        <v>0</v>
      </c>
      <c r="O60" s="564">
        <f t="shared" ref="O60:S60" si="13">SUM(O8:O58)</f>
        <v>0</v>
      </c>
      <c r="P60" s="564">
        <f t="shared" si="13"/>
        <v>0</v>
      </c>
      <c r="Q60" s="564">
        <f t="shared" si="13"/>
        <v>0</v>
      </c>
      <c r="R60" s="564">
        <f t="shared" si="13"/>
        <v>0</v>
      </c>
      <c r="S60" s="565">
        <f t="shared" si="13"/>
        <v>0</v>
      </c>
    </row>
  </sheetData>
  <dataValidations count="2">
    <dataValidation type="list" allowBlank="1" showInputMessage="1" showErrorMessage="1" sqref="D8:D58">
      <formula1>healthsystem_levels</formula1>
    </dataValidation>
    <dataValidation type="list" allowBlank="1" showInputMessage="1" showErrorMessage="1" sqref="C8:C58">
      <formula1>program_list</formula1>
    </dataValidation>
  </dataValidations>
  <pageMargins left="0.7" right="0.7" top="0.75" bottom="0.75" header="0.3" footer="0.3"/>
  <pageSetup paperSize="9" orientation="portrait" r:id="rId1"/>
  <ignoredErrors>
    <ignoredError sqref="G8:G58"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79998168889431442"/>
  </sheetPr>
  <dimension ref="A1:X60"/>
  <sheetViews>
    <sheetView showGridLines="0" zoomScale="90" zoomScaleNormal="90" workbookViewId="0">
      <selection activeCell="B8" sqref="B8:H9"/>
    </sheetView>
  </sheetViews>
  <sheetFormatPr baseColWidth="10" defaultColWidth="8.77734375" defaultRowHeight="14.4"/>
  <cols>
    <col min="1" max="1" width="3.77734375" style="1" bestFit="1" customWidth="1"/>
    <col min="2" max="2" width="46.109375" style="3" customWidth="1"/>
    <col min="3" max="3" width="20.109375" style="3" customWidth="1"/>
    <col min="4" max="6" width="15.6640625" style="3" customWidth="1"/>
    <col min="7" max="7" width="15.6640625" style="847" customWidth="1"/>
    <col min="8" max="8" width="18.44140625" style="847" customWidth="1"/>
    <col min="9" max="9" width="22.44140625" style="847" customWidth="1"/>
    <col min="10" max="16" width="8.77734375" style="3"/>
    <col min="17" max="17" width="25.44140625" style="3" customWidth="1"/>
    <col min="18" max="22" width="12.6640625" style="3" customWidth="1"/>
    <col min="23" max="16384" width="8.77734375" style="3"/>
  </cols>
  <sheetData>
    <row r="1" spans="1:24" s="419" customFormat="1" ht="18">
      <c r="A1" s="314" t="s">
        <v>1133</v>
      </c>
      <c r="G1" s="872"/>
      <c r="H1" s="872"/>
      <c r="I1" s="872"/>
      <c r="L1" s="487"/>
      <c r="M1" s="488"/>
      <c r="N1" s="488"/>
    </row>
    <row r="2" spans="1:24" s="453" customFormat="1" ht="18">
      <c r="A2" s="50" t="s">
        <v>598</v>
      </c>
      <c r="G2" s="873"/>
      <c r="H2" s="873"/>
      <c r="I2" s="873"/>
      <c r="L2" s="489"/>
      <c r="M2" s="490"/>
      <c r="N2" s="490"/>
    </row>
    <row r="3" spans="1:24">
      <c r="O3" s="368"/>
      <c r="P3" s="368"/>
      <c r="Q3" s="368"/>
      <c r="R3" s="368"/>
      <c r="S3" s="368"/>
      <c r="T3" s="368"/>
      <c r="U3" s="368"/>
      <c r="V3" s="368"/>
      <c r="W3" s="368"/>
    </row>
    <row r="4" spans="1:24">
      <c r="O4" s="368"/>
      <c r="P4" s="368"/>
      <c r="Q4" s="22" t="s">
        <v>1131</v>
      </c>
      <c r="R4" s="368"/>
      <c r="S4" s="368"/>
      <c r="T4" s="368"/>
      <c r="U4" s="368"/>
      <c r="V4" s="368"/>
      <c r="W4" s="368"/>
      <c r="X4" s="90"/>
    </row>
    <row r="5" spans="1:24">
      <c r="O5" s="368"/>
      <c r="P5" s="368"/>
      <c r="Q5" s="479">
        <v>2</v>
      </c>
      <c r="R5" s="368">
        <v>3</v>
      </c>
      <c r="S5" s="368">
        <v>4</v>
      </c>
      <c r="T5" s="368">
        <v>5</v>
      </c>
      <c r="U5" s="368">
        <v>6</v>
      </c>
      <c r="V5" s="368">
        <v>7</v>
      </c>
      <c r="W5" s="368"/>
      <c r="X5" s="90"/>
    </row>
    <row r="6" spans="1:24" ht="37.950000000000003" customHeight="1">
      <c r="B6" s="848" t="s">
        <v>5</v>
      </c>
      <c r="C6" s="789" t="s">
        <v>6</v>
      </c>
      <c r="D6" s="849" t="s">
        <v>1216</v>
      </c>
      <c r="E6" s="849" t="str">
        <f>"Unit Cost ("&amp;currency_enter&amp;")"</f>
        <v>Unit Cost ()</v>
      </c>
      <c r="F6" s="850" t="s">
        <v>1166</v>
      </c>
      <c r="G6" s="850" t="s">
        <v>0</v>
      </c>
      <c r="H6" s="299" t="s">
        <v>1167</v>
      </c>
      <c r="I6" s="851" t="str">
        <f>"Total Cost ("&amp;currency_enter&amp;")"</f>
        <v>Total Cost ()</v>
      </c>
      <c r="O6" s="368"/>
      <c r="P6" s="90"/>
      <c r="Q6" s="546">
        <f>baseline_year</f>
        <v>0</v>
      </c>
      <c r="R6" s="547">
        <f>baseline_year+1</f>
        <v>1</v>
      </c>
      <c r="S6" s="547">
        <f>R6+1</f>
        <v>2</v>
      </c>
      <c r="T6" s="547">
        <f>S6+1</f>
        <v>3</v>
      </c>
      <c r="U6" s="547">
        <f>T6+1</f>
        <v>4</v>
      </c>
      <c r="V6" s="548">
        <f>U6+1</f>
        <v>5</v>
      </c>
      <c r="W6" s="368"/>
      <c r="X6" s="90"/>
    </row>
    <row r="7" spans="1:24">
      <c r="L7" s="454"/>
      <c r="O7" s="368"/>
      <c r="P7" s="90"/>
      <c r="Q7" s="368"/>
      <c r="R7" s="368"/>
      <c r="S7" s="368"/>
      <c r="T7" s="368"/>
      <c r="U7" s="368"/>
      <c r="V7" s="368"/>
      <c r="W7" s="368"/>
      <c r="X7" s="90"/>
    </row>
    <row r="8" spans="1:24">
      <c r="A8" s="1">
        <v>1</v>
      </c>
      <c r="B8" s="536"/>
      <c r="C8" s="537"/>
      <c r="D8" s="1051"/>
      <c r="E8" s="689"/>
      <c r="F8" s="537"/>
      <c r="G8" s="852"/>
      <c r="H8" s="852"/>
      <c r="I8" s="853">
        <f>D8*E8</f>
        <v>0</v>
      </c>
      <c r="O8" s="368"/>
      <c r="P8" s="90"/>
      <c r="Q8" s="854">
        <f t="shared" ref="Q8:Q57" si="0">IF($H8="",0,IF($F8&lt;&gt;$Q$6,0,($I8*(VLOOKUP($H8,lookup_healthsystemlevels,Q$5,FALSE)))))</f>
        <v>0</v>
      </c>
      <c r="R8" s="855">
        <f t="shared" ref="R8:R57" si="1">IF($H8="",0,IF($F8&lt;&gt;R$6,0,(($I8*(1+inflation_rate))*(VLOOKUP($H8,lookup_healthsystemlevels,R$5,FALSE)))))</f>
        <v>0</v>
      </c>
      <c r="S8" s="855">
        <f t="shared" ref="S8:S57" si="2">IF($H8="",0,IF($F8&lt;&gt;S$6,0,(($I8*(1+inflation_rate)^2))*(VLOOKUP($H8,lookup_healthsystemlevels,S$5,FALSE))))</f>
        <v>0</v>
      </c>
      <c r="T8" s="855">
        <f t="shared" ref="T8:T57" si="3">IF($H8="",0,IF($F8&lt;&gt;T$6,0,(($I8*(1+inflation_rate)^3))*(VLOOKUP($H8,lookup_healthsystemlevels,T$5,FALSE))))</f>
        <v>0</v>
      </c>
      <c r="U8" s="855">
        <f t="shared" ref="U8:U57" si="4">IF($H8="",0,IF($F8&lt;&gt;U$6,0,(($I8*(1+inflation_rate)^4))*(VLOOKUP($H8,lookup_healthsystemlevels,U$5,FALSE))))</f>
        <v>0</v>
      </c>
      <c r="V8" s="856">
        <f t="shared" ref="V8:V57" si="5">IF($H8="",0,IF($F8&lt;&gt;V$6,0,(($I8*(1+inflation_rate)^5))*(VLOOKUP($H8,lookup_healthsystemlevels,V$5,FALSE))))</f>
        <v>0</v>
      </c>
      <c r="W8" s="368"/>
      <c r="X8" s="90"/>
    </row>
    <row r="9" spans="1:24">
      <c r="A9" s="1">
        <v>2</v>
      </c>
      <c r="B9" s="551"/>
      <c r="C9" s="552"/>
      <c r="D9" s="670"/>
      <c r="E9" s="558"/>
      <c r="F9" s="552"/>
      <c r="G9" s="857"/>
      <c r="H9" s="857"/>
      <c r="I9" s="858">
        <f>D9*E9</f>
        <v>0</v>
      </c>
      <c r="O9" s="368"/>
      <c r="P9" s="90"/>
      <c r="Q9" s="859">
        <f t="shared" si="0"/>
        <v>0</v>
      </c>
      <c r="R9" s="860">
        <f t="shared" si="1"/>
        <v>0</v>
      </c>
      <c r="S9" s="860">
        <f t="shared" si="2"/>
        <v>0</v>
      </c>
      <c r="T9" s="860">
        <f t="shared" si="3"/>
        <v>0</v>
      </c>
      <c r="U9" s="860">
        <f t="shared" si="4"/>
        <v>0</v>
      </c>
      <c r="V9" s="861">
        <f t="shared" si="5"/>
        <v>0</v>
      </c>
      <c r="W9" s="368"/>
      <c r="X9" s="90"/>
    </row>
    <row r="10" spans="1:24">
      <c r="A10" s="1">
        <v>3</v>
      </c>
      <c r="B10" s="551"/>
      <c r="C10" s="552"/>
      <c r="D10" s="670"/>
      <c r="E10" s="558"/>
      <c r="F10" s="552"/>
      <c r="G10" s="857"/>
      <c r="H10" s="857"/>
      <c r="I10" s="858">
        <f t="shared" ref="I10:I37" si="6">D10*E10</f>
        <v>0</v>
      </c>
      <c r="O10" s="368"/>
      <c r="P10" s="90"/>
      <c r="Q10" s="859">
        <f t="shared" si="0"/>
        <v>0</v>
      </c>
      <c r="R10" s="860">
        <f t="shared" si="1"/>
        <v>0</v>
      </c>
      <c r="S10" s="860">
        <f t="shared" si="2"/>
        <v>0</v>
      </c>
      <c r="T10" s="860">
        <f t="shared" si="3"/>
        <v>0</v>
      </c>
      <c r="U10" s="860">
        <f t="shared" si="4"/>
        <v>0</v>
      </c>
      <c r="V10" s="861">
        <f t="shared" si="5"/>
        <v>0</v>
      </c>
      <c r="W10" s="368"/>
      <c r="X10" s="90"/>
    </row>
    <row r="11" spans="1:24">
      <c r="A11" s="1">
        <v>4</v>
      </c>
      <c r="B11" s="551"/>
      <c r="C11" s="552"/>
      <c r="D11" s="670"/>
      <c r="E11" s="558"/>
      <c r="F11" s="552"/>
      <c r="G11" s="857"/>
      <c r="H11" s="857"/>
      <c r="I11" s="858">
        <f t="shared" si="6"/>
        <v>0</v>
      </c>
      <c r="O11" s="368"/>
      <c r="P11" s="90"/>
      <c r="Q11" s="859">
        <f t="shared" si="0"/>
        <v>0</v>
      </c>
      <c r="R11" s="860">
        <f t="shared" si="1"/>
        <v>0</v>
      </c>
      <c r="S11" s="860">
        <f t="shared" si="2"/>
        <v>0</v>
      </c>
      <c r="T11" s="860">
        <f t="shared" si="3"/>
        <v>0</v>
      </c>
      <c r="U11" s="860">
        <f t="shared" si="4"/>
        <v>0</v>
      </c>
      <c r="V11" s="861">
        <f t="shared" si="5"/>
        <v>0</v>
      </c>
      <c r="W11" s="368"/>
      <c r="X11" s="90"/>
    </row>
    <row r="12" spans="1:24">
      <c r="A12" s="1">
        <v>5</v>
      </c>
      <c r="B12" s="551"/>
      <c r="C12" s="552"/>
      <c r="D12" s="670"/>
      <c r="E12" s="558"/>
      <c r="F12" s="552"/>
      <c r="G12" s="857"/>
      <c r="H12" s="857"/>
      <c r="I12" s="858">
        <f t="shared" si="6"/>
        <v>0</v>
      </c>
      <c r="O12" s="368"/>
      <c r="P12" s="90"/>
      <c r="Q12" s="859">
        <f t="shared" si="0"/>
        <v>0</v>
      </c>
      <c r="R12" s="860">
        <f t="shared" si="1"/>
        <v>0</v>
      </c>
      <c r="S12" s="860">
        <f t="shared" si="2"/>
        <v>0</v>
      </c>
      <c r="T12" s="860">
        <f t="shared" si="3"/>
        <v>0</v>
      </c>
      <c r="U12" s="860">
        <f t="shared" si="4"/>
        <v>0</v>
      </c>
      <c r="V12" s="861">
        <f t="shared" si="5"/>
        <v>0</v>
      </c>
      <c r="W12" s="368"/>
      <c r="X12" s="90"/>
    </row>
    <row r="13" spans="1:24">
      <c r="A13" s="1">
        <v>6</v>
      </c>
      <c r="B13" s="551"/>
      <c r="C13" s="552"/>
      <c r="D13" s="670"/>
      <c r="E13" s="558"/>
      <c r="F13" s="552"/>
      <c r="G13" s="857"/>
      <c r="H13" s="857"/>
      <c r="I13" s="858">
        <f t="shared" si="6"/>
        <v>0</v>
      </c>
      <c r="O13" s="368"/>
      <c r="P13" s="90"/>
      <c r="Q13" s="859">
        <f t="shared" si="0"/>
        <v>0</v>
      </c>
      <c r="R13" s="860">
        <f t="shared" si="1"/>
        <v>0</v>
      </c>
      <c r="S13" s="860">
        <f t="shared" si="2"/>
        <v>0</v>
      </c>
      <c r="T13" s="860">
        <f t="shared" si="3"/>
        <v>0</v>
      </c>
      <c r="U13" s="860">
        <f t="shared" si="4"/>
        <v>0</v>
      </c>
      <c r="V13" s="861">
        <f t="shared" si="5"/>
        <v>0</v>
      </c>
      <c r="W13" s="368"/>
      <c r="X13" s="90"/>
    </row>
    <row r="14" spans="1:24">
      <c r="A14" s="1">
        <v>7</v>
      </c>
      <c r="B14" s="551"/>
      <c r="C14" s="552"/>
      <c r="D14" s="670"/>
      <c r="E14" s="558"/>
      <c r="F14" s="552"/>
      <c r="G14" s="857"/>
      <c r="H14" s="857"/>
      <c r="I14" s="858">
        <f t="shared" si="6"/>
        <v>0</v>
      </c>
      <c r="O14" s="368"/>
      <c r="P14" s="90"/>
      <c r="Q14" s="859">
        <f t="shared" si="0"/>
        <v>0</v>
      </c>
      <c r="R14" s="860">
        <f t="shared" si="1"/>
        <v>0</v>
      </c>
      <c r="S14" s="860">
        <f t="shared" si="2"/>
        <v>0</v>
      </c>
      <c r="T14" s="860">
        <f t="shared" si="3"/>
        <v>0</v>
      </c>
      <c r="U14" s="860">
        <f t="shared" si="4"/>
        <v>0</v>
      </c>
      <c r="V14" s="861">
        <f t="shared" si="5"/>
        <v>0</v>
      </c>
      <c r="W14" s="368"/>
      <c r="X14" s="90"/>
    </row>
    <row r="15" spans="1:24">
      <c r="A15" s="1">
        <v>8</v>
      </c>
      <c r="B15" s="551"/>
      <c r="C15" s="552"/>
      <c r="D15" s="670"/>
      <c r="E15" s="558"/>
      <c r="F15" s="552"/>
      <c r="G15" s="857"/>
      <c r="H15" s="857"/>
      <c r="I15" s="858">
        <f t="shared" si="6"/>
        <v>0</v>
      </c>
      <c r="O15" s="368"/>
      <c r="P15" s="90"/>
      <c r="Q15" s="859">
        <f t="shared" si="0"/>
        <v>0</v>
      </c>
      <c r="R15" s="860">
        <f t="shared" si="1"/>
        <v>0</v>
      </c>
      <c r="S15" s="860">
        <f t="shared" si="2"/>
        <v>0</v>
      </c>
      <c r="T15" s="860">
        <f t="shared" si="3"/>
        <v>0</v>
      </c>
      <c r="U15" s="860">
        <f t="shared" si="4"/>
        <v>0</v>
      </c>
      <c r="V15" s="861">
        <f t="shared" si="5"/>
        <v>0</v>
      </c>
      <c r="W15" s="368"/>
      <c r="X15" s="90"/>
    </row>
    <row r="16" spans="1:24">
      <c r="A16" s="1">
        <v>9</v>
      </c>
      <c r="B16" s="551"/>
      <c r="C16" s="552"/>
      <c r="D16" s="670"/>
      <c r="E16" s="558"/>
      <c r="F16" s="552"/>
      <c r="G16" s="857"/>
      <c r="H16" s="857"/>
      <c r="I16" s="858">
        <f t="shared" si="6"/>
        <v>0</v>
      </c>
      <c r="O16" s="368"/>
      <c r="P16" s="90"/>
      <c r="Q16" s="859">
        <f t="shared" si="0"/>
        <v>0</v>
      </c>
      <c r="R16" s="860">
        <f t="shared" si="1"/>
        <v>0</v>
      </c>
      <c r="S16" s="860">
        <f t="shared" si="2"/>
        <v>0</v>
      </c>
      <c r="T16" s="860">
        <f t="shared" si="3"/>
        <v>0</v>
      </c>
      <c r="U16" s="860">
        <f t="shared" si="4"/>
        <v>0</v>
      </c>
      <c r="V16" s="861">
        <f t="shared" si="5"/>
        <v>0</v>
      </c>
      <c r="W16" s="368"/>
      <c r="X16" s="90"/>
    </row>
    <row r="17" spans="1:24">
      <c r="A17" s="1">
        <v>10</v>
      </c>
      <c r="B17" s="539"/>
      <c r="C17" s="540"/>
      <c r="D17" s="1052"/>
      <c r="E17" s="862"/>
      <c r="F17" s="540"/>
      <c r="G17" s="863"/>
      <c r="H17" s="857"/>
      <c r="I17" s="858">
        <f t="shared" si="6"/>
        <v>0</v>
      </c>
      <c r="O17" s="368"/>
      <c r="P17" s="90"/>
      <c r="Q17" s="859">
        <f t="shared" si="0"/>
        <v>0</v>
      </c>
      <c r="R17" s="860">
        <f t="shared" si="1"/>
        <v>0</v>
      </c>
      <c r="S17" s="860">
        <f t="shared" si="2"/>
        <v>0</v>
      </c>
      <c r="T17" s="860">
        <f t="shared" si="3"/>
        <v>0</v>
      </c>
      <c r="U17" s="860">
        <f t="shared" si="4"/>
        <v>0</v>
      </c>
      <c r="V17" s="861">
        <f t="shared" si="5"/>
        <v>0</v>
      </c>
      <c r="W17" s="368"/>
      <c r="X17" s="90"/>
    </row>
    <row r="18" spans="1:24">
      <c r="A18" s="1">
        <v>11</v>
      </c>
      <c r="B18" s="551"/>
      <c r="C18" s="552"/>
      <c r="D18" s="670"/>
      <c r="E18" s="558"/>
      <c r="F18" s="552"/>
      <c r="G18" s="857"/>
      <c r="H18" s="857"/>
      <c r="I18" s="858">
        <f t="shared" si="6"/>
        <v>0</v>
      </c>
      <c r="O18" s="368"/>
      <c r="P18" s="90"/>
      <c r="Q18" s="859">
        <f t="shared" si="0"/>
        <v>0</v>
      </c>
      <c r="R18" s="860">
        <f t="shared" si="1"/>
        <v>0</v>
      </c>
      <c r="S18" s="860">
        <f t="shared" si="2"/>
        <v>0</v>
      </c>
      <c r="T18" s="860">
        <f t="shared" si="3"/>
        <v>0</v>
      </c>
      <c r="U18" s="860">
        <f t="shared" si="4"/>
        <v>0</v>
      </c>
      <c r="V18" s="861">
        <f t="shared" si="5"/>
        <v>0</v>
      </c>
      <c r="W18" s="368"/>
      <c r="X18" s="90"/>
    </row>
    <row r="19" spans="1:24">
      <c r="A19" s="1">
        <v>12</v>
      </c>
      <c r="B19" s="551"/>
      <c r="C19" s="552"/>
      <c r="D19" s="670"/>
      <c r="E19" s="558"/>
      <c r="F19" s="552"/>
      <c r="G19" s="857"/>
      <c r="H19" s="857"/>
      <c r="I19" s="858">
        <f t="shared" si="6"/>
        <v>0</v>
      </c>
      <c r="O19" s="368"/>
      <c r="P19" s="90"/>
      <c r="Q19" s="859">
        <f t="shared" si="0"/>
        <v>0</v>
      </c>
      <c r="R19" s="860">
        <f t="shared" si="1"/>
        <v>0</v>
      </c>
      <c r="S19" s="860">
        <f t="shared" si="2"/>
        <v>0</v>
      </c>
      <c r="T19" s="860">
        <f t="shared" si="3"/>
        <v>0</v>
      </c>
      <c r="U19" s="860">
        <f t="shared" si="4"/>
        <v>0</v>
      </c>
      <c r="V19" s="861">
        <f t="shared" si="5"/>
        <v>0</v>
      </c>
      <c r="W19" s="368"/>
      <c r="X19" s="90"/>
    </row>
    <row r="20" spans="1:24">
      <c r="A20" s="1">
        <v>13</v>
      </c>
      <c r="B20" s="551"/>
      <c r="C20" s="552"/>
      <c r="D20" s="670"/>
      <c r="E20" s="558"/>
      <c r="F20" s="552"/>
      <c r="G20" s="857"/>
      <c r="H20" s="857"/>
      <c r="I20" s="858">
        <f t="shared" si="6"/>
        <v>0</v>
      </c>
      <c r="O20" s="368"/>
      <c r="P20" s="90"/>
      <c r="Q20" s="859">
        <f t="shared" si="0"/>
        <v>0</v>
      </c>
      <c r="R20" s="860">
        <f t="shared" si="1"/>
        <v>0</v>
      </c>
      <c r="S20" s="860">
        <f t="shared" si="2"/>
        <v>0</v>
      </c>
      <c r="T20" s="860">
        <f t="shared" si="3"/>
        <v>0</v>
      </c>
      <c r="U20" s="860">
        <f t="shared" si="4"/>
        <v>0</v>
      </c>
      <c r="V20" s="861">
        <f t="shared" si="5"/>
        <v>0</v>
      </c>
      <c r="W20" s="368"/>
      <c r="X20" s="90"/>
    </row>
    <row r="21" spans="1:24">
      <c r="A21" s="1">
        <v>14</v>
      </c>
      <c r="B21" s="551"/>
      <c r="C21" s="552"/>
      <c r="D21" s="670"/>
      <c r="E21" s="558"/>
      <c r="F21" s="552"/>
      <c r="G21" s="857"/>
      <c r="H21" s="857"/>
      <c r="I21" s="858">
        <f t="shared" si="6"/>
        <v>0</v>
      </c>
      <c r="O21" s="368"/>
      <c r="P21" s="90"/>
      <c r="Q21" s="859">
        <f t="shared" si="0"/>
        <v>0</v>
      </c>
      <c r="R21" s="860">
        <f t="shared" si="1"/>
        <v>0</v>
      </c>
      <c r="S21" s="860">
        <f t="shared" si="2"/>
        <v>0</v>
      </c>
      <c r="T21" s="860">
        <f t="shared" si="3"/>
        <v>0</v>
      </c>
      <c r="U21" s="860">
        <f t="shared" si="4"/>
        <v>0</v>
      </c>
      <c r="V21" s="861">
        <f t="shared" si="5"/>
        <v>0</v>
      </c>
      <c r="W21" s="368"/>
      <c r="X21" s="90"/>
    </row>
    <row r="22" spans="1:24">
      <c r="A22" s="1">
        <v>15</v>
      </c>
      <c r="B22" s="551"/>
      <c r="C22" s="552"/>
      <c r="D22" s="670"/>
      <c r="E22" s="558"/>
      <c r="F22" s="552"/>
      <c r="G22" s="857"/>
      <c r="H22" s="857"/>
      <c r="I22" s="858">
        <f t="shared" si="6"/>
        <v>0</v>
      </c>
      <c r="O22" s="368"/>
      <c r="P22" s="90"/>
      <c r="Q22" s="859">
        <f t="shared" si="0"/>
        <v>0</v>
      </c>
      <c r="R22" s="860">
        <f t="shared" si="1"/>
        <v>0</v>
      </c>
      <c r="S22" s="860">
        <f t="shared" si="2"/>
        <v>0</v>
      </c>
      <c r="T22" s="860">
        <f t="shared" si="3"/>
        <v>0</v>
      </c>
      <c r="U22" s="860">
        <f t="shared" si="4"/>
        <v>0</v>
      </c>
      <c r="V22" s="861">
        <f t="shared" si="5"/>
        <v>0</v>
      </c>
      <c r="W22" s="368"/>
      <c r="X22" s="90"/>
    </row>
    <row r="23" spans="1:24">
      <c r="A23" s="1">
        <v>16</v>
      </c>
      <c r="B23" s="551"/>
      <c r="C23" s="552"/>
      <c r="D23" s="670"/>
      <c r="E23" s="558"/>
      <c r="F23" s="552"/>
      <c r="G23" s="857"/>
      <c r="H23" s="857"/>
      <c r="I23" s="858">
        <f t="shared" si="6"/>
        <v>0</v>
      </c>
      <c r="O23" s="368"/>
      <c r="P23" s="90"/>
      <c r="Q23" s="859">
        <f t="shared" si="0"/>
        <v>0</v>
      </c>
      <c r="R23" s="860">
        <f t="shared" si="1"/>
        <v>0</v>
      </c>
      <c r="S23" s="860">
        <f t="shared" si="2"/>
        <v>0</v>
      </c>
      <c r="T23" s="860">
        <f t="shared" si="3"/>
        <v>0</v>
      </c>
      <c r="U23" s="860">
        <f t="shared" si="4"/>
        <v>0</v>
      </c>
      <c r="V23" s="861">
        <f t="shared" si="5"/>
        <v>0</v>
      </c>
      <c r="W23" s="368"/>
      <c r="X23" s="90"/>
    </row>
    <row r="24" spans="1:24">
      <c r="A24" s="1">
        <v>17</v>
      </c>
      <c r="B24" s="551"/>
      <c r="C24" s="552"/>
      <c r="D24" s="670"/>
      <c r="E24" s="558"/>
      <c r="F24" s="552"/>
      <c r="G24" s="857"/>
      <c r="H24" s="857"/>
      <c r="I24" s="858">
        <f t="shared" si="6"/>
        <v>0</v>
      </c>
      <c r="O24" s="368"/>
      <c r="P24" s="90"/>
      <c r="Q24" s="859">
        <f t="shared" si="0"/>
        <v>0</v>
      </c>
      <c r="R24" s="860">
        <f t="shared" si="1"/>
        <v>0</v>
      </c>
      <c r="S24" s="860">
        <f t="shared" si="2"/>
        <v>0</v>
      </c>
      <c r="T24" s="860">
        <f t="shared" si="3"/>
        <v>0</v>
      </c>
      <c r="U24" s="860">
        <f t="shared" si="4"/>
        <v>0</v>
      </c>
      <c r="V24" s="861">
        <f t="shared" si="5"/>
        <v>0</v>
      </c>
      <c r="W24" s="368"/>
      <c r="X24" s="90"/>
    </row>
    <row r="25" spans="1:24">
      <c r="A25" s="1">
        <v>18</v>
      </c>
      <c r="B25" s="551"/>
      <c r="C25" s="552"/>
      <c r="D25" s="670"/>
      <c r="E25" s="558"/>
      <c r="F25" s="552"/>
      <c r="G25" s="857"/>
      <c r="H25" s="857"/>
      <c r="I25" s="858">
        <f t="shared" si="6"/>
        <v>0</v>
      </c>
      <c r="O25" s="368"/>
      <c r="P25" s="90"/>
      <c r="Q25" s="859">
        <f t="shared" si="0"/>
        <v>0</v>
      </c>
      <c r="R25" s="860">
        <f t="shared" si="1"/>
        <v>0</v>
      </c>
      <c r="S25" s="860">
        <f t="shared" si="2"/>
        <v>0</v>
      </c>
      <c r="T25" s="860">
        <f t="shared" si="3"/>
        <v>0</v>
      </c>
      <c r="U25" s="860">
        <f t="shared" si="4"/>
        <v>0</v>
      </c>
      <c r="V25" s="861">
        <f t="shared" si="5"/>
        <v>0</v>
      </c>
      <c r="W25" s="368"/>
      <c r="X25" s="90"/>
    </row>
    <row r="26" spans="1:24">
      <c r="A26" s="1">
        <v>19</v>
      </c>
      <c r="B26" s="551"/>
      <c r="C26" s="552"/>
      <c r="D26" s="670"/>
      <c r="E26" s="558"/>
      <c r="F26" s="552"/>
      <c r="G26" s="857"/>
      <c r="H26" s="857"/>
      <c r="I26" s="858">
        <f t="shared" si="6"/>
        <v>0</v>
      </c>
      <c r="O26" s="368"/>
      <c r="P26" s="90"/>
      <c r="Q26" s="859">
        <f t="shared" si="0"/>
        <v>0</v>
      </c>
      <c r="R26" s="860">
        <f t="shared" si="1"/>
        <v>0</v>
      </c>
      <c r="S26" s="860">
        <f t="shared" si="2"/>
        <v>0</v>
      </c>
      <c r="T26" s="860">
        <f t="shared" si="3"/>
        <v>0</v>
      </c>
      <c r="U26" s="860">
        <f t="shared" si="4"/>
        <v>0</v>
      </c>
      <c r="V26" s="861">
        <f t="shared" si="5"/>
        <v>0</v>
      </c>
      <c r="W26" s="368"/>
      <c r="X26" s="90"/>
    </row>
    <row r="27" spans="1:24">
      <c r="A27" s="1">
        <v>20</v>
      </c>
      <c r="B27" s="551"/>
      <c r="C27" s="552"/>
      <c r="D27" s="670"/>
      <c r="E27" s="558"/>
      <c r="F27" s="552"/>
      <c r="G27" s="857"/>
      <c r="H27" s="857"/>
      <c r="I27" s="858">
        <f t="shared" si="6"/>
        <v>0</v>
      </c>
      <c r="O27" s="368"/>
      <c r="P27" s="90"/>
      <c r="Q27" s="859">
        <f t="shared" si="0"/>
        <v>0</v>
      </c>
      <c r="R27" s="860">
        <f t="shared" si="1"/>
        <v>0</v>
      </c>
      <c r="S27" s="860">
        <f t="shared" si="2"/>
        <v>0</v>
      </c>
      <c r="T27" s="860">
        <f t="shared" si="3"/>
        <v>0</v>
      </c>
      <c r="U27" s="860">
        <f t="shared" si="4"/>
        <v>0</v>
      </c>
      <c r="V27" s="861">
        <f t="shared" si="5"/>
        <v>0</v>
      </c>
      <c r="W27" s="368"/>
      <c r="X27" s="90"/>
    </row>
    <row r="28" spans="1:24">
      <c r="A28" s="1">
        <v>21</v>
      </c>
      <c r="B28" s="551"/>
      <c r="C28" s="552"/>
      <c r="D28" s="670"/>
      <c r="E28" s="558"/>
      <c r="F28" s="552"/>
      <c r="G28" s="857"/>
      <c r="H28" s="857"/>
      <c r="I28" s="858">
        <f t="shared" si="6"/>
        <v>0</v>
      </c>
      <c r="O28" s="368"/>
      <c r="P28" s="90"/>
      <c r="Q28" s="859">
        <f t="shared" si="0"/>
        <v>0</v>
      </c>
      <c r="R28" s="860">
        <f t="shared" si="1"/>
        <v>0</v>
      </c>
      <c r="S28" s="860">
        <f t="shared" si="2"/>
        <v>0</v>
      </c>
      <c r="T28" s="860">
        <f t="shared" si="3"/>
        <v>0</v>
      </c>
      <c r="U28" s="860">
        <f t="shared" si="4"/>
        <v>0</v>
      </c>
      <c r="V28" s="861">
        <f t="shared" si="5"/>
        <v>0</v>
      </c>
      <c r="W28" s="368"/>
      <c r="X28" s="90"/>
    </row>
    <row r="29" spans="1:24">
      <c r="A29" s="1">
        <v>22</v>
      </c>
      <c r="B29" s="551"/>
      <c r="C29" s="552"/>
      <c r="D29" s="670"/>
      <c r="E29" s="558"/>
      <c r="F29" s="552"/>
      <c r="G29" s="857"/>
      <c r="H29" s="857"/>
      <c r="I29" s="858">
        <f t="shared" si="6"/>
        <v>0</v>
      </c>
      <c r="O29" s="368"/>
      <c r="P29" s="90"/>
      <c r="Q29" s="859">
        <f t="shared" si="0"/>
        <v>0</v>
      </c>
      <c r="R29" s="860">
        <f t="shared" si="1"/>
        <v>0</v>
      </c>
      <c r="S29" s="860">
        <f t="shared" si="2"/>
        <v>0</v>
      </c>
      <c r="T29" s="860">
        <f t="shared" si="3"/>
        <v>0</v>
      </c>
      <c r="U29" s="860">
        <f t="shared" si="4"/>
        <v>0</v>
      </c>
      <c r="V29" s="861">
        <f t="shared" si="5"/>
        <v>0</v>
      </c>
      <c r="W29" s="368"/>
      <c r="X29" s="90"/>
    </row>
    <row r="30" spans="1:24">
      <c r="A30" s="1">
        <v>23</v>
      </c>
      <c r="B30" s="551"/>
      <c r="C30" s="552"/>
      <c r="D30" s="670"/>
      <c r="E30" s="558"/>
      <c r="F30" s="552"/>
      <c r="G30" s="857"/>
      <c r="H30" s="857"/>
      <c r="I30" s="858">
        <f t="shared" si="6"/>
        <v>0</v>
      </c>
      <c r="O30" s="368"/>
      <c r="P30" s="90"/>
      <c r="Q30" s="859">
        <f t="shared" si="0"/>
        <v>0</v>
      </c>
      <c r="R30" s="860">
        <f t="shared" si="1"/>
        <v>0</v>
      </c>
      <c r="S30" s="860">
        <f t="shared" si="2"/>
        <v>0</v>
      </c>
      <c r="T30" s="860">
        <f t="shared" si="3"/>
        <v>0</v>
      </c>
      <c r="U30" s="860">
        <f t="shared" si="4"/>
        <v>0</v>
      </c>
      <c r="V30" s="861">
        <f t="shared" si="5"/>
        <v>0</v>
      </c>
      <c r="W30" s="368"/>
      <c r="X30" s="90"/>
    </row>
    <row r="31" spans="1:24">
      <c r="A31" s="1">
        <v>24</v>
      </c>
      <c r="B31" s="551"/>
      <c r="C31" s="552"/>
      <c r="D31" s="670"/>
      <c r="E31" s="558"/>
      <c r="F31" s="552"/>
      <c r="G31" s="857"/>
      <c r="H31" s="857"/>
      <c r="I31" s="858">
        <f t="shared" si="6"/>
        <v>0</v>
      </c>
      <c r="O31" s="368"/>
      <c r="P31" s="90"/>
      <c r="Q31" s="859">
        <f t="shared" si="0"/>
        <v>0</v>
      </c>
      <c r="R31" s="860">
        <f t="shared" si="1"/>
        <v>0</v>
      </c>
      <c r="S31" s="860">
        <f t="shared" si="2"/>
        <v>0</v>
      </c>
      <c r="T31" s="860">
        <f t="shared" si="3"/>
        <v>0</v>
      </c>
      <c r="U31" s="860">
        <f t="shared" si="4"/>
        <v>0</v>
      </c>
      <c r="V31" s="861">
        <f t="shared" si="5"/>
        <v>0</v>
      </c>
      <c r="W31" s="368"/>
      <c r="X31" s="90"/>
    </row>
    <row r="32" spans="1:24">
      <c r="A32" s="1">
        <v>25</v>
      </c>
      <c r="B32" s="551"/>
      <c r="C32" s="552"/>
      <c r="D32" s="670"/>
      <c r="E32" s="558"/>
      <c r="F32" s="552"/>
      <c r="G32" s="857"/>
      <c r="H32" s="857"/>
      <c r="I32" s="858">
        <f t="shared" si="6"/>
        <v>0</v>
      </c>
      <c r="O32" s="368"/>
      <c r="P32" s="90"/>
      <c r="Q32" s="859">
        <f t="shared" si="0"/>
        <v>0</v>
      </c>
      <c r="R32" s="860">
        <f t="shared" si="1"/>
        <v>0</v>
      </c>
      <c r="S32" s="860">
        <f t="shared" si="2"/>
        <v>0</v>
      </c>
      <c r="T32" s="860">
        <f t="shared" si="3"/>
        <v>0</v>
      </c>
      <c r="U32" s="860">
        <f t="shared" si="4"/>
        <v>0</v>
      </c>
      <c r="V32" s="861">
        <f t="shared" si="5"/>
        <v>0</v>
      </c>
      <c r="W32" s="368"/>
      <c r="X32" s="90"/>
    </row>
    <row r="33" spans="1:24">
      <c r="A33" s="1">
        <v>26</v>
      </c>
      <c r="B33" s="551"/>
      <c r="C33" s="552"/>
      <c r="D33" s="670"/>
      <c r="E33" s="558"/>
      <c r="F33" s="552"/>
      <c r="G33" s="857"/>
      <c r="H33" s="857"/>
      <c r="I33" s="858">
        <f t="shared" si="6"/>
        <v>0</v>
      </c>
      <c r="O33" s="368"/>
      <c r="P33" s="90"/>
      <c r="Q33" s="859">
        <f t="shared" si="0"/>
        <v>0</v>
      </c>
      <c r="R33" s="860">
        <f t="shared" si="1"/>
        <v>0</v>
      </c>
      <c r="S33" s="860">
        <f t="shared" si="2"/>
        <v>0</v>
      </c>
      <c r="T33" s="860">
        <f t="shared" si="3"/>
        <v>0</v>
      </c>
      <c r="U33" s="860">
        <f t="shared" si="4"/>
        <v>0</v>
      </c>
      <c r="V33" s="861">
        <f t="shared" si="5"/>
        <v>0</v>
      </c>
      <c r="W33" s="368"/>
      <c r="X33" s="90"/>
    </row>
    <row r="34" spans="1:24">
      <c r="A34" s="1">
        <v>27</v>
      </c>
      <c r="B34" s="551"/>
      <c r="C34" s="552"/>
      <c r="D34" s="670"/>
      <c r="E34" s="558"/>
      <c r="F34" s="552"/>
      <c r="G34" s="857"/>
      <c r="H34" s="857"/>
      <c r="I34" s="858">
        <f t="shared" si="6"/>
        <v>0</v>
      </c>
      <c r="O34" s="368"/>
      <c r="P34" s="90"/>
      <c r="Q34" s="859">
        <f t="shared" si="0"/>
        <v>0</v>
      </c>
      <c r="R34" s="860">
        <f t="shared" si="1"/>
        <v>0</v>
      </c>
      <c r="S34" s="860">
        <f t="shared" si="2"/>
        <v>0</v>
      </c>
      <c r="T34" s="860">
        <f t="shared" si="3"/>
        <v>0</v>
      </c>
      <c r="U34" s="860">
        <f t="shared" si="4"/>
        <v>0</v>
      </c>
      <c r="V34" s="861">
        <f t="shared" si="5"/>
        <v>0</v>
      </c>
      <c r="W34" s="368"/>
      <c r="X34" s="90"/>
    </row>
    <row r="35" spans="1:24">
      <c r="A35" s="1">
        <v>28</v>
      </c>
      <c r="B35" s="551"/>
      <c r="C35" s="552"/>
      <c r="D35" s="670"/>
      <c r="E35" s="558"/>
      <c r="F35" s="552"/>
      <c r="G35" s="857"/>
      <c r="H35" s="857"/>
      <c r="I35" s="858">
        <f t="shared" si="6"/>
        <v>0</v>
      </c>
      <c r="O35" s="368"/>
      <c r="P35" s="90"/>
      <c r="Q35" s="859">
        <f t="shared" si="0"/>
        <v>0</v>
      </c>
      <c r="R35" s="860">
        <f t="shared" si="1"/>
        <v>0</v>
      </c>
      <c r="S35" s="860">
        <f t="shared" si="2"/>
        <v>0</v>
      </c>
      <c r="T35" s="860">
        <f t="shared" si="3"/>
        <v>0</v>
      </c>
      <c r="U35" s="860">
        <f t="shared" si="4"/>
        <v>0</v>
      </c>
      <c r="V35" s="861">
        <f t="shared" si="5"/>
        <v>0</v>
      </c>
      <c r="W35" s="368"/>
      <c r="X35" s="90"/>
    </row>
    <row r="36" spans="1:24">
      <c r="A36" s="1">
        <v>29</v>
      </c>
      <c r="B36" s="551"/>
      <c r="C36" s="552"/>
      <c r="D36" s="670"/>
      <c r="E36" s="558"/>
      <c r="F36" s="552"/>
      <c r="G36" s="857"/>
      <c r="H36" s="857"/>
      <c r="I36" s="858">
        <f t="shared" si="6"/>
        <v>0</v>
      </c>
      <c r="O36" s="368"/>
      <c r="P36" s="90"/>
      <c r="Q36" s="859">
        <f t="shared" si="0"/>
        <v>0</v>
      </c>
      <c r="R36" s="860">
        <f t="shared" si="1"/>
        <v>0</v>
      </c>
      <c r="S36" s="860">
        <f t="shared" si="2"/>
        <v>0</v>
      </c>
      <c r="T36" s="860">
        <f t="shared" si="3"/>
        <v>0</v>
      </c>
      <c r="U36" s="860">
        <f t="shared" si="4"/>
        <v>0</v>
      </c>
      <c r="V36" s="861">
        <f t="shared" si="5"/>
        <v>0</v>
      </c>
      <c r="W36" s="368"/>
      <c r="X36" s="90"/>
    </row>
    <row r="37" spans="1:24">
      <c r="A37" s="1">
        <v>30</v>
      </c>
      <c r="B37" s="551"/>
      <c r="C37" s="552"/>
      <c r="D37" s="670"/>
      <c r="E37" s="558"/>
      <c r="F37" s="552"/>
      <c r="G37" s="857"/>
      <c r="H37" s="857"/>
      <c r="I37" s="858">
        <f t="shared" si="6"/>
        <v>0</v>
      </c>
      <c r="O37" s="368"/>
      <c r="P37" s="90"/>
      <c r="Q37" s="859">
        <f t="shared" si="0"/>
        <v>0</v>
      </c>
      <c r="R37" s="860">
        <f t="shared" si="1"/>
        <v>0</v>
      </c>
      <c r="S37" s="860">
        <f t="shared" si="2"/>
        <v>0</v>
      </c>
      <c r="T37" s="860">
        <f t="shared" si="3"/>
        <v>0</v>
      </c>
      <c r="U37" s="860">
        <f t="shared" si="4"/>
        <v>0</v>
      </c>
      <c r="V37" s="861">
        <f t="shared" si="5"/>
        <v>0</v>
      </c>
      <c r="W37" s="368"/>
    </row>
    <row r="38" spans="1:24">
      <c r="A38" s="1">
        <v>31</v>
      </c>
      <c r="B38" s="551"/>
      <c r="C38" s="552"/>
      <c r="D38" s="670"/>
      <c r="E38" s="558"/>
      <c r="F38" s="552"/>
      <c r="G38" s="857"/>
      <c r="H38" s="857"/>
      <c r="I38" s="858">
        <f t="shared" ref="I38:I57" si="7">D38*E38</f>
        <v>0</v>
      </c>
      <c r="O38" s="368"/>
      <c r="P38" s="90"/>
      <c r="Q38" s="859">
        <f t="shared" si="0"/>
        <v>0</v>
      </c>
      <c r="R38" s="860">
        <f t="shared" si="1"/>
        <v>0</v>
      </c>
      <c r="S38" s="860">
        <f t="shared" si="2"/>
        <v>0</v>
      </c>
      <c r="T38" s="860">
        <f t="shared" si="3"/>
        <v>0</v>
      </c>
      <c r="U38" s="860">
        <f t="shared" si="4"/>
        <v>0</v>
      </c>
      <c r="V38" s="861">
        <f t="shared" si="5"/>
        <v>0</v>
      </c>
      <c r="W38" s="368"/>
    </row>
    <row r="39" spans="1:24">
      <c r="A39" s="1">
        <v>32</v>
      </c>
      <c r="B39" s="551"/>
      <c r="C39" s="552"/>
      <c r="D39" s="670"/>
      <c r="E39" s="558"/>
      <c r="F39" s="552"/>
      <c r="G39" s="857"/>
      <c r="H39" s="857"/>
      <c r="I39" s="858">
        <f t="shared" si="7"/>
        <v>0</v>
      </c>
      <c r="O39" s="368"/>
      <c r="P39" s="90"/>
      <c r="Q39" s="859">
        <f t="shared" si="0"/>
        <v>0</v>
      </c>
      <c r="R39" s="860">
        <f t="shared" si="1"/>
        <v>0</v>
      </c>
      <c r="S39" s="860">
        <f t="shared" si="2"/>
        <v>0</v>
      </c>
      <c r="T39" s="860">
        <f t="shared" si="3"/>
        <v>0</v>
      </c>
      <c r="U39" s="860">
        <f t="shared" si="4"/>
        <v>0</v>
      </c>
      <c r="V39" s="861">
        <f t="shared" si="5"/>
        <v>0</v>
      </c>
      <c r="W39" s="368"/>
    </row>
    <row r="40" spans="1:24">
      <c r="A40" s="1">
        <v>33</v>
      </c>
      <c r="B40" s="551"/>
      <c r="C40" s="552"/>
      <c r="D40" s="670"/>
      <c r="E40" s="558"/>
      <c r="F40" s="552"/>
      <c r="G40" s="857"/>
      <c r="H40" s="857"/>
      <c r="I40" s="858">
        <f t="shared" si="7"/>
        <v>0</v>
      </c>
      <c r="O40" s="368"/>
      <c r="P40" s="90"/>
      <c r="Q40" s="859">
        <f t="shared" si="0"/>
        <v>0</v>
      </c>
      <c r="R40" s="860">
        <f t="shared" si="1"/>
        <v>0</v>
      </c>
      <c r="S40" s="860">
        <f t="shared" si="2"/>
        <v>0</v>
      </c>
      <c r="T40" s="860">
        <f t="shared" si="3"/>
        <v>0</v>
      </c>
      <c r="U40" s="860">
        <f t="shared" si="4"/>
        <v>0</v>
      </c>
      <c r="V40" s="861">
        <f t="shared" si="5"/>
        <v>0</v>
      </c>
      <c r="W40" s="368"/>
    </row>
    <row r="41" spans="1:24">
      <c r="A41" s="1">
        <v>34</v>
      </c>
      <c r="B41" s="551"/>
      <c r="C41" s="552"/>
      <c r="D41" s="670"/>
      <c r="E41" s="558"/>
      <c r="F41" s="552"/>
      <c r="G41" s="857"/>
      <c r="H41" s="857"/>
      <c r="I41" s="858">
        <f t="shared" si="7"/>
        <v>0</v>
      </c>
      <c r="O41" s="368"/>
      <c r="P41" s="90"/>
      <c r="Q41" s="859">
        <f t="shared" si="0"/>
        <v>0</v>
      </c>
      <c r="R41" s="860">
        <f t="shared" si="1"/>
        <v>0</v>
      </c>
      <c r="S41" s="860">
        <f t="shared" si="2"/>
        <v>0</v>
      </c>
      <c r="T41" s="860">
        <f t="shared" si="3"/>
        <v>0</v>
      </c>
      <c r="U41" s="860">
        <f t="shared" si="4"/>
        <v>0</v>
      </c>
      <c r="V41" s="861">
        <f t="shared" si="5"/>
        <v>0</v>
      </c>
      <c r="W41" s="368"/>
    </row>
    <row r="42" spans="1:24">
      <c r="A42" s="1">
        <v>35</v>
      </c>
      <c r="B42" s="551"/>
      <c r="C42" s="552"/>
      <c r="D42" s="670"/>
      <c r="E42" s="558"/>
      <c r="F42" s="552"/>
      <c r="G42" s="857"/>
      <c r="H42" s="857"/>
      <c r="I42" s="858">
        <f t="shared" si="7"/>
        <v>0</v>
      </c>
      <c r="O42" s="368"/>
      <c r="P42" s="90"/>
      <c r="Q42" s="859">
        <f t="shared" si="0"/>
        <v>0</v>
      </c>
      <c r="R42" s="860">
        <f t="shared" si="1"/>
        <v>0</v>
      </c>
      <c r="S42" s="860">
        <f t="shared" si="2"/>
        <v>0</v>
      </c>
      <c r="T42" s="860">
        <f t="shared" si="3"/>
        <v>0</v>
      </c>
      <c r="U42" s="860">
        <f t="shared" si="4"/>
        <v>0</v>
      </c>
      <c r="V42" s="861">
        <f t="shared" si="5"/>
        <v>0</v>
      </c>
      <c r="W42" s="368"/>
    </row>
    <row r="43" spans="1:24">
      <c r="A43" s="1">
        <v>36</v>
      </c>
      <c r="B43" s="551"/>
      <c r="C43" s="552"/>
      <c r="D43" s="670"/>
      <c r="E43" s="558"/>
      <c r="F43" s="552"/>
      <c r="G43" s="857"/>
      <c r="H43" s="857"/>
      <c r="I43" s="858">
        <f t="shared" si="7"/>
        <v>0</v>
      </c>
      <c r="O43" s="368"/>
      <c r="P43" s="90"/>
      <c r="Q43" s="859">
        <f t="shared" si="0"/>
        <v>0</v>
      </c>
      <c r="R43" s="860">
        <f t="shared" si="1"/>
        <v>0</v>
      </c>
      <c r="S43" s="860">
        <f t="shared" si="2"/>
        <v>0</v>
      </c>
      <c r="T43" s="860">
        <f t="shared" si="3"/>
        <v>0</v>
      </c>
      <c r="U43" s="860">
        <f t="shared" si="4"/>
        <v>0</v>
      </c>
      <c r="V43" s="861">
        <f t="shared" si="5"/>
        <v>0</v>
      </c>
      <c r="W43" s="368"/>
    </row>
    <row r="44" spans="1:24">
      <c r="A44" s="1">
        <v>37</v>
      </c>
      <c r="B44" s="551"/>
      <c r="C44" s="552"/>
      <c r="D44" s="670"/>
      <c r="E44" s="558"/>
      <c r="F44" s="552"/>
      <c r="G44" s="857"/>
      <c r="H44" s="857"/>
      <c r="I44" s="858">
        <f t="shared" si="7"/>
        <v>0</v>
      </c>
      <c r="O44" s="368"/>
      <c r="P44" s="90"/>
      <c r="Q44" s="859">
        <f t="shared" si="0"/>
        <v>0</v>
      </c>
      <c r="R44" s="860">
        <f t="shared" si="1"/>
        <v>0</v>
      </c>
      <c r="S44" s="860">
        <f t="shared" si="2"/>
        <v>0</v>
      </c>
      <c r="T44" s="860">
        <f t="shared" si="3"/>
        <v>0</v>
      </c>
      <c r="U44" s="860">
        <f t="shared" si="4"/>
        <v>0</v>
      </c>
      <c r="V44" s="861">
        <f t="shared" si="5"/>
        <v>0</v>
      </c>
      <c r="W44" s="368"/>
    </row>
    <row r="45" spans="1:24">
      <c r="A45" s="1">
        <v>38</v>
      </c>
      <c r="B45" s="551"/>
      <c r="C45" s="552"/>
      <c r="D45" s="670"/>
      <c r="E45" s="558"/>
      <c r="F45" s="552"/>
      <c r="G45" s="857"/>
      <c r="H45" s="857"/>
      <c r="I45" s="858">
        <f t="shared" si="7"/>
        <v>0</v>
      </c>
      <c r="O45" s="368"/>
      <c r="P45" s="90"/>
      <c r="Q45" s="859">
        <f t="shared" si="0"/>
        <v>0</v>
      </c>
      <c r="R45" s="860">
        <f t="shared" si="1"/>
        <v>0</v>
      </c>
      <c r="S45" s="860">
        <f t="shared" si="2"/>
        <v>0</v>
      </c>
      <c r="T45" s="860">
        <f t="shared" si="3"/>
        <v>0</v>
      </c>
      <c r="U45" s="860">
        <f t="shared" si="4"/>
        <v>0</v>
      </c>
      <c r="V45" s="861">
        <f t="shared" si="5"/>
        <v>0</v>
      </c>
      <c r="W45" s="368"/>
    </row>
    <row r="46" spans="1:24">
      <c r="A46" s="1">
        <v>39</v>
      </c>
      <c r="B46" s="551"/>
      <c r="C46" s="552"/>
      <c r="D46" s="670"/>
      <c r="E46" s="558"/>
      <c r="F46" s="552"/>
      <c r="G46" s="857"/>
      <c r="H46" s="857"/>
      <c r="I46" s="858">
        <f t="shared" si="7"/>
        <v>0</v>
      </c>
      <c r="O46" s="368"/>
      <c r="P46" s="90"/>
      <c r="Q46" s="859">
        <f t="shared" si="0"/>
        <v>0</v>
      </c>
      <c r="R46" s="860">
        <f t="shared" si="1"/>
        <v>0</v>
      </c>
      <c r="S46" s="860">
        <f t="shared" si="2"/>
        <v>0</v>
      </c>
      <c r="T46" s="860">
        <f t="shared" si="3"/>
        <v>0</v>
      </c>
      <c r="U46" s="860">
        <f t="shared" si="4"/>
        <v>0</v>
      </c>
      <c r="V46" s="861">
        <f t="shared" si="5"/>
        <v>0</v>
      </c>
      <c r="W46" s="368"/>
    </row>
    <row r="47" spans="1:24">
      <c r="A47" s="1">
        <v>40</v>
      </c>
      <c r="B47" s="551"/>
      <c r="C47" s="552"/>
      <c r="D47" s="670"/>
      <c r="E47" s="558"/>
      <c r="F47" s="552"/>
      <c r="G47" s="857"/>
      <c r="H47" s="857"/>
      <c r="I47" s="858">
        <f t="shared" si="7"/>
        <v>0</v>
      </c>
      <c r="O47" s="368"/>
      <c r="P47" s="90"/>
      <c r="Q47" s="859">
        <f t="shared" si="0"/>
        <v>0</v>
      </c>
      <c r="R47" s="860">
        <f t="shared" si="1"/>
        <v>0</v>
      </c>
      <c r="S47" s="860">
        <f t="shared" si="2"/>
        <v>0</v>
      </c>
      <c r="T47" s="860">
        <f t="shared" si="3"/>
        <v>0</v>
      </c>
      <c r="U47" s="860">
        <f t="shared" si="4"/>
        <v>0</v>
      </c>
      <c r="V47" s="861">
        <f t="shared" si="5"/>
        <v>0</v>
      </c>
      <c r="W47" s="368"/>
    </row>
    <row r="48" spans="1:24">
      <c r="A48" s="1">
        <v>41</v>
      </c>
      <c r="B48" s="551"/>
      <c r="C48" s="552"/>
      <c r="D48" s="670"/>
      <c r="E48" s="558"/>
      <c r="F48" s="552"/>
      <c r="G48" s="857"/>
      <c r="H48" s="857"/>
      <c r="I48" s="858">
        <f t="shared" si="7"/>
        <v>0</v>
      </c>
      <c r="O48" s="368"/>
      <c r="P48" s="90"/>
      <c r="Q48" s="859">
        <f t="shared" si="0"/>
        <v>0</v>
      </c>
      <c r="R48" s="860">
        <f t="shared" si="1"/>
        <v>0</v>
      </c>
      <c r="S48" s="860">
        <f t="shared" si="2"/>
        <v>0</v>
      </c>
      <c r="T48" s="860">
        <f t="shared" si="3"/>
        <v>0</v>
      </c>
      <c r="U48" s="860">
        <f t="shared" si="4"/>
        <v>0</v>
      </c>
      <c r="V48" s="861">
        <f t="shared" si="5"/>
        <v>0</v>
      </c>
      <c r="W48" s="368"/>
    </row>
    <row r="49" spans="1:23">
      <c r="A49" s="1">
        <v>42</v>
      </c>
      <c r="B49" s="551"/>
      <c r="C49" s="552"/>
      <c r="D49" s="670"/>
      <c r="E49" s="558"/>
      <c r="F49" s="552"/>
      <c r="G49" s="857"/>
      <c r="H49" s="857"/>
      <c r="I49" s="858">
        <f t="shared" si="7"/>
        <v>0</v>
      </c>
      <c r="O49" s="368"/>
      <c r="P49" s="90"/>
      <c r="Q49" s="859">
        <f t="shared" si="0"/>
        <v>0</v>
      </c>
      <c r="R49" s="860">
        <f t="shared" si="1"/>
        <v>0</v>
      </c>
      <c r="S49" s="860">
        <f t="shared" si="2"/>
        <v>0</v>
      </c>
      <c r="T49" s="860">
        <f t="shared" si="3"/>
        <v>0</v>
      </c>
      <c r="U49" s="860">
        <f t="shared" si="4"/>
        <v>0</v>
      </c>
      <c r="V49" s="861">
        <f t="shared" si="5"/>
        <v>0</v>
      </c>
      <c r="W49" s="368"/>
    </row>
    <row r="50" spans="1:23">
      <c r="A50" s="1">
        <v>43</v>
      </c>
      <c r="B50" s="551"/>
      <c r="C50" s="552"/>
      <c r="D50" s="670"/>
      <c r="E50" s="558"/>
      <c r="F50" s="552"/>
      <c r="G50" s="857"/>
      <c r="H50" s="857"/>
      <c r="I50" s="858">
        <f t="shared" si="7"/>
        <v>0</v>
      </c>
      <c r="O50" s="368"/>
      <c r="P50" s="90"/>
      <c r="Q50" s="859">
        <f t="shared" si="0"/>
        <v>0</v>
      </c>
      <c r="R50" s="860">
        <f t="shared" si="1"/>
        <v>0</v>
      </c>
      <c r="S50" s="860">
        <f t="shared" si="2"/>
        <v>0</v>
      </c>
      <c r="T50" s="860">
        <f t="shared" si="3"/>
        <v>0</v>
      </c>
      <c r="U50" s="860">
        <f t="shared" si="4"/>
        <v>0</v>
      </c>
      <c r="V50" s="861">
        <f t="shared" si="5"/>
        <v>0</v>
      </c>
      <c r="W50" s="368"/>
    </row>
    <row r="51" spans="1:23">
      <c r="A51" s="1">
        <v>44</v>
      </c>
      <c r="B51" s="551"/>
      <c r="C51" s="552"/>
      <c r="D51" s="670"/>
      <c r="E51" s="558"/>
      <c r="F51" s="552"/>
      <c r="G51" s="857"/>
      <c r="H51" s="857"/>
      <c r="I51" s="858">
        <f t="shared" si="7"/>
        <v>0</v>
      </c>
      <c r="O51" s="368"/>
      <c r="P51" s="90"/>
      <c r="Q51" s="859">
        <f t="shared" si="0"/>
        <v>0</v>
      </c>
      <c r="R51" s="860">
        <f t="shared" si="1"/>
        <v>0</v>
      </c>
      <c r="S51" s="860">
        <f t="shared" si="2"/>
        <v>0</v>
      </c>
      <c r="T51" s="860">
        <f t="shared" si="3"/>
        <v>0</v>
      </c>
      <c r="U51" s="860">
        <f t="shared" si="4"/>
        <v>0</v>
      </c>
      <c r="V51" s="861">
        <f t="shared" si="5"/>
        <v>0</v>
      </c>
      <c r="W51" s="368"/>
    </row>
    <row r="52" spans="1:23">
      <c r="A52" s="1">
        <v>45</v>
      </c>
      <c r="B52" s="551"/>
      <c r="C52" s="552"/>
      <c r="D52" s="670"/>
      <c r="E52" s="558"/>
      <c r="F52" s="552"/>
      <c r="G52" s="857"/>
      <c r="H52" s="857"/>
      <c r="I52" s="858">
        <f t="shared" si="7"/>
        <v>0</v>
      </c>
      <c r="O52" s="368"/>
      <c r="P52" s="90"/>
      <c r="Q52" s="859">
        <f t="shared" si="0"/>
        <v>0</v>
      </c>
      <c r="R52" s="860">
        <f t="shared" si="1"/>
        <v>0</v>
      </c>
      <c r="S52" s="860">
        <f t="shared" si="2"/>
        <v>0</v>
      </c>
      <c r="T52" s="860">
        <f t="shared" si="3"/>
        <v>0</v>
      </c>
      <c r="U52" s="860">
        <f t="shared" si="4"/>
        <v>0</v>
      </c>
      <c r="V52" s="861">
        <f t="shared" si="5"/>
        <v>0</v>
      </c>
      <c r="W52" s="368"/>
    </row>
    <row r="53" spans="1:23">
      <c r="A53" s="1">
        <v>46</v>
      </c>
      <c r="B53" s="551"/>
      <c r="C53" s="552"/>
      <c r="D53" s="670"/>
      <c r="E53" s="558"/>
      <c r="F53" s="552"/>
      <c r="G53" s="857"/>
      <c r="H53" s="857"/>
      <c r="I53" s="858">
        <f t="shared" si="7"/>
        <v>0</v>
      </c>
      <c r="O53" s="368"/>
      <c r="P53" s="90"/>
      <c r="Q53" s="859">
        <f t="shared" si="0"/>
        <v>0</v>
      </c>
      <c r="R53" s="860">
        <f t="shared" si="1"/>
        <v>0</v>
      </c>
      <c r="S53" s="860">
        <f t="shared" si="2"/>
        <v>0</v>
      </c>
      <c r="T53" s="860">
        <f t="shared" si="3"/>
        <v>0</v>
      </c>
      <c r="U53" s="860">
        <f t="shared" si="4"/>
        <v>0</v>
      </c>
      <c r="V53" s="861">
        <f t="shared" si="5"/>
        <v>0</v>
      </c>
      <c r="W53" s="368"/>
    </row>
    <row r="54" spans="1:23">
      <c r="A54" s="1">
        <v>47</v>
      </c>
      <c r="B54" s="551"/>
      <c r="C54" s="552"/>
      <c r="D54" s="670"/>
      <c r="E54" s="558"/>
      <c r="F54" s="552"/>
      <c r="G54" s="857"/>
      <c r="H54" s="857"/>
      <c r="I54" s="858">
        <f t="shared" si="7"/>
        <v>0</v>
      </c>
      <c r="O54" s="368"/>
      <c r="P54" s="90"/>
      <c r="Q54" s="859">
        <f t="shared" si="0"/>
        <v>0</v>
      </c>
      <c r="R54" s="860">
        <f t="shared" si="1"/>
        <v>0</v>
      </c>
      <c r="S54" s="860">
        <f t="shared" si="2"/>
        <v>0</v>
      </c>
      <c r="T54" s="860">
        <f t="shared" si="3"/>
        <v>0</v>
      </c>
      <c r="U54" s="860">
        <f t="shared" si="4"/>
        <v>0</v>
      </c>
      <c r="V54" s="861">
        <f t="shared" si="5"/>
        <v>0</v>
      </c>
      <c r="W54" s="368"/>
    </row>
    <row r="55" spans="1:23">
      <c r="A55" s="1">
        <v>48</v>
      </c>
      <c r="B55" s="551"/>
      <c r="C55" s="552"/>
      <c r="D55" s="670"/>
      <c r="E55" s="558"/>
      <c r="F55" s="552"/>
      <c r="G55" s="857"/>
      <c r="H55" s="857"/>
      <c r="I55" s="858">
        <f t="shared" si="7"/>
        <v>0</v>
      </c>
      <c r="O55" s="368"/>
      <c r="P55" s="90"/>
      <c r="Q55" s="859">
        <f t="shared" si="0"/>
        <v>0</v>
      </c>
      <c r="R55" s="860">
        <f t="shared" si="1"/>
        <v>0</v>
      </c>
      <c r="S55" s="860">
        <f t="shared" si="2"/>
        <v>0</v>
      </c>
      <c r="T55" s="860">
        <f t="shared" si="3"/>
        <v>0</v>
      </c>
      <c r="U55" s="860">
        <f t="shared" si="4"/>
        <v>0</v>
      </c>
      <c r="V55" s="861">
        <f t="shared" si="5"/>
        <v>0</v>
      </c>
      <c r="W55" s="368"/>
    </row>
    <row r="56" spans="1:23">
      <c r="A56" s="1">
        <v>49</v>
      </c>
      <c r="B56" s="551"/>
      <c r="C56" s="552"/>
      <c r="D56" s="670"/>
      <c r="E56" s="558"/>
      <c r="F56" s="552"/>
      <c r="G56" s="857"/>
      <c r="H56" s="857"/>
      <c r="I56" s="858">
        <f t="shared" si="7"/>
        <v>0</v>
      </c>
      <c r="O56" s="368"/>
      <c r="P56" s="90"/>
      <c r="Q56" s="859">
        <f t="shared" si="0"/>
        <v>0</v>
      </c>
      <c r="R56" s="860">
        <f t="shared" si="1"/>
        <v>0</v>
      </c>
      <c r="S56" s="860">
        <f t="shared" si="2"/>
        <v>0</v>
      </c>
      <c r="T56" s="860">
        <f t="shared" si="3"/>
        <v>0</v>
      </c>
      <c r="U56" s="860">
        <f t="shared" si="4"/>
        <v>0</v>
      </c>
      <c r="V56" s="861">
        <f t="shared" si="5"/>
        <v>0</v>
      </c>
      <c r="W56" s="368"/>
    </row>
    <row r="57" spans="1:23">
      <c r="A57" s="1">
        <v>50</v>
      </c>
      <c r="B57" s="559"/>
      <c r="C57" s="560"/>
      <c r="D57" s="1053"/>
      <c r="E57" s="561"/>
      <c r="F57" s="560"/>
      <c r="G57" s="864"/>
      <c r="H57" s="864"/>
      <c r="I57" s="865">
        <f t="shared" si="7"/>
        <v>0</v>
      </c>
      <c r="O57" s="368"/>
      <c r="P57" s="90"/>
      <c r="Q57" s="866">
        <f t="shared" si="0"/>
        <v>0</v>
      </c>
      <c r="R57" s="867">
        <f t="shared" si="1"/>
        <v>0</v>
      </c>
      <c r="S57" s="867">
        <f t="shared" si="2"/>
        <v>0</v>
      </c>
      <c r="T57" s="867">
        <f t="shared" si="3"/>
        <v>0</v>
      </c>
      <c r="U57" s="867">
        <f t="shared" si="4"/>
        <v>0</v>
      </c>
      <c r="V57" s="868">
        <f t="shared" si="5"/>
        <v>0</v>
      </c>
      <c r="W57" s="368"/>
    </row>
    <row r="58" spans="1:23">
      <c r="H58" s="535" t="s">
        <v>1164</v>
      </c>
      <c r="I58" s="534">
        <f>SUM(I8:I57)</f>
        <v>0</v>
      </c>
      <c r="P58" s="90"/>
      <c r="Q58" s="368"/>
      <c r="R58" s="368"/>
      <c r="S58" s="368"/>
      <c r="T58" s="368"/>
      <c r="U58" s="368"/>
      <c r="V58" s="368"/>
    </row>
    <row r="59" spans="1:23" ht="25.05" customHeight="1">
      <c r="P59" s="90"/>
      <c r="Q59" s="869">
        <f t="shared" ref="Q59:V59" si="8">SUM(Q8:Q57)</f>
        <v>0</v>
      </c>
      <c r="R59" s="870">
        <f t="shared" si="8"/>
        <v>0</v>
      </c>
      <c r="S59" s="870">
        <f t="shared" si="8"/>
        <v>0</v>
      </c>
      <c r="T59" s="870">
        <f t="shared" si="8"/>
        <v>0</v>
      </c>
      <c r="U59" s="870">
        <f t="shared" si="8"/>
        <v>0</v>
      </c>
      <c r="V59" s="871">
        <f t="shared" si="8"/>
        <v>0</v>
      </c>
    </row>
    <row r="60" spans="1:23">
      <c r="P60" s="90"/>
      <c r="Q60" s="368"/>
      <c r="R60" s="368"/>
      <c r="S60" s="368"/>
      <c r="T60" s="368"/>
      <c r="U60" s="368"/>
      <c r="V60" s="368"/>
    </row>
  </sheetData>
  <dataValidations count="4">
    <dataValidation type="list" allowBlank="1" showInputMessage="1" showErrorMessage="1" sqref="G8:G57">
      <formula1>program_list</formula1>
    </dataValidation>
    <dataValidation type="list" allowBlank="1" showInputMessage="1" showErrorMessage="1" sqref="C8:C57">
      <formula1>"Start-up,Capital"</formula1>
    </dataValidation>
    <dataValidation type="list" allowBlank="1" showInputMessage="1" showErrorMessage="1" sqref="F8:F57">
      <formula1>year_dropdown</formula1>
    </dataValidation>
    <dataValidation type="list" allowBlank="1" showInputMessage="1" showErrorMessage="1" sqref="H8:H57">
      <formula1>healthsystem_levels</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theme="4" tint="0.79998168889431442"/>
  </sheetPr>
  <dimension ref="A1:X38"/>
  <sheetViews>
    <sheetView showGridLines="0" zoomScale="90" zoomScaleNormal="90" workbookViewId="0">
      <selection activeCell="K11" sqref="K11"/>
    </sheetView>
  </sheetViews>
  <sheetFormatPr baseColWidth="10" defaultColWidth="8.77734375" defaultRowHeight="14.4"/>
  <cols>
    <col min="1" max="1" width="4.21875" style="4" customWidth="1"/>
    <col min="2" max="2" width="17.109375" style="4" bestFit="1" customWidth="1"/>
    <col min="3" max="3" width="15.6640625" style="4" customWidth="1"/>
    <col min="4" max="4" width="28.21875" style="4" bestFit="1" customWidth="1"/>
    <col min="5" max="5" width="24.77734375" style="4" bestFit="1" customWidth="1"/>
    <col min="6" max="6" width="8.77734375" style="4" customWidth="1"/>
    <col min="7" max="12" width="15.6640625" style="4" customWidth="1"/>
    <col min="13" max="13" width="13.44140625" style="4" customWidth="1"/>
    <col min="14" max="19" width="15.6640625" style="4" customWidth="1"/>
    <col min="20" max="24" width="13.5546875" style="4" customWidth="1"/>
    <col min="25" max="16384" width="8.77734375" style="4"/>
  </cols>
  <sheetData>
    <row r="1" spans="1:24" s="419" customFormat="1" ht="24" customHeight="1">
      <c r="A1" s="314" t="s">
        <v>1335</v>
      </c>
      <c r="K1" s="487"/>
      <c r="L1" s="488"/>
      <c r="M1" s="488"/>
    </row>
    <row r="2" spans="1:24" s="453" customFormat="1" ht="18">
      <c r="A2" s="50" t="s">
        <v>598</v>
      </c>
      <c r="K2" s="489"/>
      <c r="L2" s="490"/>
      <c r="M2" s="490"/>
    </row>
    <row r="3" spans="1:24" s="3" customFormat="1">
      <c r="B3" s="901"/>
      <c r="C3" s="901"/>
      <c r="G3" s="54"/>
      <c r="H3" s="54"/>
      <c r="I3" s="54"/>
      <c r="J3" s="54"/>
      <c r="K3" s="54"/>
      <c r="L3" s="54"/>
      <c r="N3" s="270"/>
      <c r="O3" s="270"/>
      <c r="P3" s="270"/>
      <c r="Q3" s="270"/>
      <c r="R3" s="270"/>
      <c r="S3" s="270"/>
      <c r="T3" s="4"/>
      <c r="U3" s="4"/>
      <c r="V3" s="4"/>
      <c r="W3" s="4"/>
      <c r="X3" s="4"/>
    </row>
    <row r="4" spans="1:24" s="3" customFormat="1" ht="15" thickBot="1">
      <c r="B4" s="901"/>
      <c r="C4" s="901"/>
      <c r="G4" s="54"/>
      <c r="H4" s="54"/>
      <c r="I4" s="54"/>
      <c r="J4" s="54"/>
      <c r="K4" s="54"/>
      <c r="L4" s="54"/>
      <c r="N4" s="270"/>
      <c r="O4" s="270"/>
      <c r="P4" s="270"/>
      <c r="Q4" s="270"/>
      <c r="R4" s="270"/>
      <c r="S4" s="270"/>
      <c r="T4" s="4"/>
      <c r="U4" s="4"/>
      <c r="V4" s="4"/>
      <c r="W4" s="4"/>
      <c r="X4" s="4"/>
    </row>
    <row r="5" spans="1:24" s="3" customFormat="1" ht="15" thickBot="1">
      <c r="B5" s="1079" t="s">
        <v>1548</v>
      </c>
      <c r="C5" s="1080"/>
      <c r="D5" s="1080"/>
      <c r="E5" s="1081"/>
      <c r="G5" s="1079" t="s">
        <v>1549</v>
      </c>
      <c r="H5" s="1080"/>
      <c r="I5" s="1080"/>
      <c r="J5" s="1080"/>
      <c r="K5" s="1080"/>
      <c r="L5" s="1081"/>
      <c r="N5" s="1079" t="s">
        <v>1550</v>
      </c>
      <c r="O5" s="1080"/>
      <c r="P5" s="1080"/>
      <c r="Q5" s="1080"/>
      <c r="R5" s="1080"/>
      <c r="S5" s="1081"/>
      <c r="T5" s="4"/>
      <c r="U5" s="4"/>
      <c r="V5" s="4"/>
      <c r="W5" s="4"/>
      <c r="X5" s="4"/>
    </row>
    <row r="6" spans="1:24" s="3" customFormat="1" ht="15" thickBot="1">
      <c r="B6" s="901"/>
      <c r="C6" s="901"/>
      <c r="G6" s="54">
        <v>3</v>
      </c>
      <c r="H6" s="54">
        <v>4</v>
      </c>
      <c r="I6" s="54">
        <v>5</v>
      </c>
      <c r="J6" s="54">
        <v>6</v>
      </c>
      <c r="K6" s="54">
        <v>7</v>
      </c>
      <c r="L6" s="54">
        <v>8</v>
      </c>
      <c r="N6" s="270">
        <v>2</v>
      </c>
      <c r="O6" s="270">
        <v>3</v>
      </c>
      <c r="P6" s="270">
        <v>4</v>
      </c>
      <c r="Q6" s="270">
        <v>5</v>
      </c>
      <c r="R6" s="270">
        <v>6</v>
      </c>
      <c r="S6" s="270">
        <v>7</v>
      </c>
      <c r="T6" s="4"/>
      <c r="U6" s="4"/>
      <c r="V6" s="4"/>
      <c r="W6" s="4"/>
      <c r="X6" s="4"/>
    </row>
    <row r="7" spans="1:24" s="3" customFormat="1" ht="15" thickBot="1">
      <c r="B7" s="902" t="s">
        <v>1336</v>
      </c>
      <c r="C7" s="903" t="s">
        <v>1349</v>
      </c>
      <c r="D7" s="903" t="s">
        <v>1337</v>
      </c>
      <c r="E7" s="12" t="str">
        <f>"Enter as % or Amount ("&amp;currency_enter&amp;")"</f>
        <v>Enter as % or Amount ()</v>
      </c>
      <c r="G7" s="617">
        <f>[0]!baseline_year</f>
        <v>0</v>
      </c>
      <c r="H7" s="11">
        <f>baseline_year+1</f>
        <v>1</v>
      </c>
      <c r="I7" s="11">
        <f>H7+1</f>
        <v>2</v>
      </c>
      <c r="J7" s="11">
        <f>I7+1</f>
        <v>3</v>
      </c>
      <c r="K7" s="11">
        <f>J7+1</f>
        <v>4</v>
      </c>
      <c r="L7" s="12">
        <f>K7+1</f>
        <v>5</v>
      </c>
      <c r="N7" s="617">
        <f>baseline_year</f>
        <v>0</v>
      </c>
      <c r="O7" s="11">
        <f>baseline_year+1</f>
        <v>1</v>
      </c>
      <c r="P7" s="11">
        <f>O7+1</f>
        <v>2</v>
      </c>
      <c r="Q7" s="11">
        <f>P7+1</f>
        <v>3</v>
      </c>
      <c r="R7" s="11">
        <f>Q7+1</f>
        <v>4</v>
      </c>
      <c r="S7" s="12">
        <f>R7+1</f>
        <v>5</v>
      </c>
      <c r="T7" s="4"/>
      <c r="U7" s="4"/>
      <c r="V7" s="4"/>
      <c r="W7" s="4"/>
      <c r="X7" s="4"/>
    </row>
    <row r="8" spans="1:24" s="3" customFormat="1">
      <c r="B8" s="4"/>
      <c r="C8" s="4"/>
      <c r="D8" s="4"/>
      <c r="E8" s="4"/>
    </row>
    <row r="9" spans="1:24" s="3" customFormat="1">
      <c r="A9" s="3">
        <v>1</v>
      </c>
      <c r="B9" s="795"/>
      <c r="C9" s="904"/>
      <c r="D9" s="904"/>
      <c r="E9" s="905" t="s">
        <v>1338</v>
      </c>
      <c r="G9" s="906">
        <v>0</v>
      </c>
      <c r="H9" s="907">
        <v>0</v>
      </c>
      <c r="I9" s="907">
        <v>0</v>
      </c>
      <c r="J9" s="907">
        <v>0</v>
      </c>
      <c r="K9" s="907">
        <v>0</v>
      </c>
      <c r="L9" s="908">
        <v>0</v>
      </c>
      <c r="N9" s="293">
        <f>IFERROR(IF($E9="%",G9*VLOOKUP($D9,Cost_by_Input!$A$7:$G$24,N$6,FALSE),G9),0)</f>
        <v>0</v>
      </c>
      <c r="O9" s="83">
        <f>IFERROR(IF($E9="%",H9*VLOOKUP($D9,Cost_by_Input!$A$7:$G$24,O$6,FALSE),H9),0)</f>
        <v>0</v>
      </c>
      <c r="P9" s="83">
        <f>IFERROR(IF($E9="%",I9*VLOOKUP($D9,Cost_by_Input!$A$7:$G$24,P$6,FALSE),I9),0)</f>
        <v>0</v>
      </c>
      <c r="Q9" s="83">
        <f>IFERROR(IF($E9="%",J9*VLOOKUP($D9,Cost_by_Input!$A$7:$G$24,Q$6,FALSE),J9),0)</f>
        <v>0</v>
      </c>
      <c r="R9" s="83">
        <f>IFERROR(IF($E9="%",K9*VLOOKUP($D9,Cost_by_Input!$A$7:$G$24,R$6,FALSE),K9),0)</f>
        <v>0</v>
      </c>
      <c r="S9" s="84">
        <f>IFERROR(IF($E9="%",L9*VLOOKUP($D9,Cost_by_Input!$A$7:$G$24,S$6,FALSE),L9),0)</f>
        <v>0</v>
      </c>
    </row>
    <row r="10" spans="1:24" s="3" customFormat="1">
      <c r="A10" s="3">
        <v>2</v>
      </c>
      <c r="B10" s="555"/>
      <c r="C10" s="556"/>
      <c r="D10" s="556"/>
      <c r="E10" s="909" t="s">
        <v>1338</v>
      </c>
      <c r="G10" s="910">
        <v>0</v>
      </c>
      <c r="H10" s="911">
        <v>0</v>
      </c>
      <c r="I10" s="911">
        <v>0</v>
      </c>
      <c r="J10" s="911">
        <v>0</v>
      </c>
      <c r="K10" s="911">
        <v>0</v>
      </c>
      <c r="L10" s="912">
        <v>0</v>
      </c>
      <c r="N10" s="294">
        <f>IFERROR(IF($E10="%",G10*VLOOKUP($D10,Cost_by_Input!$A$7:$G$24,N$6,FALSE),G10),0)</f>
        <v>0</v>
      </c>
      <c r="O10" s="80">
        <f>IFERROR(IF($E10="%",H10*VLOOKUP($D10,Cost_by_Input!$A$7:$G$24,O$6,FALSE),H10),0)</f>
        <v>0</v>
      </c>
      <c r="P10" s="80">
        <f>IFERROR(IF($E10="%",I10*VLOOKUP($D10,Cost_by_Input!$A$7:$G$24,P$6,FALSE),I10),0)</f>
        <v>0</v>
      </c>
      <c r="Q10" s="80">
        <f>IFERROR(IF($E10="%",J10*VLOOKUP($D10,Cost_by_Input!$A$7:$G$24,Q$6,FALSE),J10),0)</f>
        <v>0</v>
      </c>
      <c r="R10" s="80">
        <f>IFERROR(IF($E10="%",K10*VLOOKUP($D10,Cost_by_Input!$A$7:$G$24,R$6,FALSE),K10),0)</f>
        <v>0</v>
      </c>
      <c r="S10" s="81">
        <f>IFERROR(IF($E10="%",L10*VLOOKUP($D10,Cost_by_Input!$A$7:$G$24,S$6,FALSE),L10),0)</f>
        <v>0</v>
      </c>
    </row>
    <row r="11" spans="1:24" s="3" customFormat="1">
      <c r="A11" s="3">
        <v>3</v>
      </c>
      <c r="B11" s="555"/>
      <c r="C11" s="556"/>
      <c r="D11" s="556"/>
      <c r="E11" s="909" t="s">
        <v>1338</v>
      </c>
      <c r="G11" s="910">
        <v>0</v>
      </c>
      <c r="H11" s="911">
        <v>0</v>
      </c>
      <c r="I11" s="911">
        <v>0</v>
      </c>
      <c r="J11" s="911">
        <v>0</v>
      </c>
      <c r="K11" s="911">
        <v>0.5</v>
      </c>
      <c r="L11" s="912">
        <v>0</v>
      </c>
      <c r="N11" s="294">
        <f>IFERROR(IF($E11="%",G11*VLOOKUP($D11,Cost_by_Input!$A$7:$G$24,N$6,FALSE),G11),0)</f>
        <v>0</v>
      </c>
      <c r="O11" s="80">
        <f>IFERROR(IF($E11="%",H11*VLOOKUP($D11,Cost_by_Input!$A$7:$G$24,O$6,FALSE),H11),0)</f>
        <v>0</v>
      </c>
      <c r="P11" s="80">
        <f>IFERROR(IF($E11="%",I11*VLOOKUP($D11,Cost_by_Input!$A$7:$G$24,P$6,FALSE),I11),0)</f>
        <v>0</v>
      </c>
      <c r="Q11" s="80">
        <f>IFERROR(IF($E11="%",J11*VLOOKUP($D11,Cost_by_Input!$A$7:$G$24,Q$6,FALSE),J11),0)</f>
        <v>0</v>
      </c>
      <c r="R11" s="80">
        <f>IFERROR(IF($E11="%",K11*VLOOKUP($D11,Cost_by_Input!$A$7:$G$24,R$6,FALSE),K11),0)</f>
        <v>0</v>
      </c>
      <c r="S11" s="81">
        <f>IFERROR(IF($E11="%",L11*VLOOKUP($D11,Cost_by_Input!$A$7:$G$24,S$6,FALSE),L11),0)</f>
        <v>0</v>
      </c>
    </row>
    <row r="12" spans="1:24" s="3" customFormat="1">
      <c r="A12" s="3">
        <v>4</v>
      </c>
      <c r="B12" s="555"/>
      <c r="C12" s="913"/>
      <c r="D12" s="913"/>
      <c r="E12" s="909"/>
      <c r="G12" s="910"/>
      <c r="H12" s="911"/>
      <c r="I12" s="911"/>
      <c r="J12" s="911"/>
      <c r="K12" s="911"/>
      <c r="L12" s="912"/>
      <c r="N12" s="294">
        <f>IFERROR(IF($E12="%",G12*VLOOKUP($D12,Cost_by_Input!$A$7:$G$24,N$6,FALSE),G12),0)</f>
        <v>0</v>
      </c>
      <c r="O12" s="80">
        <f>IFERROR(IF($E12="%",H12*VLOOKUP($D12,Cost_by_Input!$A$7:$G$24,O$6,FALSE),H12),0)</f>
        <v>0</v>
      </c>
      <c r="P12" s="80">
        <f>IFERROR(IF($E12="%",I12*VLOOKUP($D12,Cost_by_Input!$A$7:$G$24,P$6,FALSE),I12),0)</f>
        <v>0</v>
      </c>
      <c r="Q12" s="80">
        <f>IFERROR(IF($E12="%",J12*VLOOKUP($D12,Cost_by_Input!$A$7:$G$24,Q$6,FALSE),J12),0)</f>
        <v>0</v>
      </c>
      <c r="R12" s="80">
        <f>IFERROR(IF($E12="%",K12*VLOOKUP($D12,Cost_by_Input!$A$7:$G$24,R$6,FALSE),K12),0)</f>
        <v>0</v>
      </c>
      <c r="S12" s="81">
        <f>IFERROR(IF($E12="%",L12*VLOOKUP($D12,Cost_by_Input!$A$7:$G$24,S$6,FALSE),L12),0)</f>
        <v>0</v>
      </c>
    </row>
    <row r="13" spans="1:24" s="3" customFormat="1">
      <c r="A13" s="3">
        <v>5</v>
      </c>
      <c r="B13" s="914"/>
      <c r="C13" s="913"/>
      <c r="D13" s="913"/>
      <c r="E13" s="915"/>
      <c r="G13" s="910"/>
      <c r="H13" s="911"/>
      <c r="I13" s="911"/>
      <c r="J13" s="911"/>
      <c r="K13" s="911"/>
      <c r="L13" s="912"/>
      <c r="N13" s="294">
        <f>IFERROR(IF($E13="%",G13*VLOOKUP($D13,Cost_by_Input!$A$7:$G$24,N$6,FALSE),G13),0)</f>
        <v>0</v>
      </c>
      <c r="O13" s="80">
        <f>IFERROR(IF($E13="%",H13*VLOOKUP($D13,Cost_by_Input!$A$7:$G$24,O$6,FALSE),H13),0)</f>
        <v>0</v>
      </c>
      <c r="P13" s="80">
        <f>IFERROR(IF($E13="%",I13*VLOOKUP($D13,Cost_by_Input!$A$7:$G$24,P$6,FALSE),I13),0)</f>
        <v>0</v>
      </c>
      <c r="Q13" s="80">
        <f>IFERROR(IF($E13="%",J13*VLOOKUP($D13,Cost_by_Input!$A$7:$G$24,Q$6,FALSE),J13),0)</f>
        <v>0</v>
      </c>
      <c r="R13" s="80">
        <f>IFERROR(IF($E13="%",K13*VLOOKUP($D13,Cost_by_Input!$A$7:$G$24,R$6,FALSE),K13),0)</f>
        <v>0</v>
      </c>
      <c r="S13" s="81">
        <f>IFERROR(IF($E13="%",L13*VLOOKUP($D13,Cost_by_Input!$A$7:$G$24,S$6,FALSE),L13),0)</f>
        <v>0</v>
      </c>
    </row>
    <row r="14" spans="1:24" s="3" customFormat="1">
      <c r="A14" s="3">
        <v>6</v>
      </c>
      <c r="B14" s="914"/>
      <c r="C14" s="913"/>
      <c r="D14" s="913"/>
      <c r="E14" s="915"/>
      <c r="G14" s="910"/>
      <c r="H14" s="911"/>
      <c r="I14" s="911"/>
      <c r="J14" s="911"/>
      <c r="K14" s="911"/>
      <c r="L14" s="912"/>
      <c r="N14" s="294">
        <f>IFERROR(IF($E14="%",G14*VLOOKUP($D14,Cost_by_Input!$A$7:$G$24,N$6,FALSE),G14),0)</f>
        <v>0</v>
      </c>
      <c r="O14" s="80">
        <f>IFERROR(IF($E14="%",H14*VLOOKUP($D14,Cost_by_Input!$A$7:$G$24,O$6,FALSE),H14),0)</f>
        <v>0</v>
      </c>
      <c r="P14" s="80">
        <f>IFERROR(IF($E14="%",I14*VLOOKUP($D14,Cost_by_Input!$A$7:$G$24,P$6,FALSE),I14),0)</f>
        <v>0</v>
      </c>
      <c r="Q14" s="80">
        <f>IFERROR(IF($E14="%",J14*VLOOKUP($D14,Cost_by_Input!$A$7:$G$24,Q$6,FALSE),J14),0)</f>
        <v>0</v>
      </c>
      <c r="R14" s="80">
        <f>IFERROR(IF($E14="%",K14*VLOOKUP($D14,Cost_by_Input!$A$7:$G$24,R$6,FALSE),K14),0)</f>
        <v>0</v>
      </c>
      <c r="S14" s="81">
        <f>IFERROR(IF($E14="%",L14*VLOOKUP($D14,Cost_by_Input!$A$7:$G$24,S$6,FALSE),L14),0)</f>
        <v>0</v>
      </c>
    </row>
    <row r="15" spans="1:24" s="3" customFormat="1">
      <c r="A15" s="3">
        <v>7</v>
      </c>
      <c r="B15" s="555"/>
      <c r="C15" s="913"/>
      <c r="D15" s="913"/>
      <c r="E15" s="915"/>
      <c r="G15" s="910"/>
      <c r="H15" s="911"/>
      <c r="I15" s="911"/>
      <c r="J15" s="911"/>
      <c r="K15" s="911"/>
      <c r="L15" s="912"/>
      <c r="N15" s="294">
        <f>IFERROR(IF($E15="%",G15*VLOOKUP($D15,Cost_by_Input!$A$7:$G$24,N$6,FALSE),G15),0)</f>
        <v>0</v>
      </c>
      <c r="O15" s="80">
        <f>IFERROR(IF($E15="%",H15*VLOOKUP($D15,Cost_by_Input!$A$7:$G$24,O$6,FALSE),H15),0)</f>
        <v>0</v>
      </c>
      <c r="P15" s="80">
        <f>IFERROR(IF($E15="%",I15*VLOOKUP($D15,Cost_by_Input!$A$7:$G$24,P$6,FALSE),I15),0)</f>
        <v>0</v>
      </c>
      <c r="Q15" s="80">
        <f>IFERROR(IF($E15="%",J15*VLOOKUP($D15,Cost_by_Input!$A$7:$G$24,Q$6,FALSE),J15),0)</f>
        <v>0</v>
      </c>
      <c r="R15" s="80">
        <f>IFERROR(IF($E15="%",K15*VLOOKUP($D15,Cost_by_Input!$A$7:$G$24,R$6,FALSE),K15),0)</f>
        <v>0</v>
      </c>
      <c r="S15" s="81">
        <f>IFERROR(IF($E15="%",L15*VLOOKUP($D15,Cost_by_Input!$A$7:$G$24,S$6,FALSE),L15),0)</f>
        <v>0</v>
      </c>
    </row>
    <row r="16" spans="1:24" s="3" customFormat="1">
      <c r="A16" s="3">
        <v>8</v>
      </c>
      <c r="B16" s="555"/>
      <c r="C16" s="913"/>
      <c r="D16" s="913"/>
      <c r="E16" s="915"/>
      <c r="G16" s="910"/>
      <c r="H16" s="911"/>
      <c r="I16" s="911"/>
      <c r="J16" s="911"/>
      <c r="K16" s="911"/>
      <c r="L16" s="912"/>
      <c r="N16" s="294">
        <f>IFERROR(IF($E16="%",G16*VLOOKUP($D16,Cost_by_Input!$A$7:$G$24,N$6,FALSE),G16),0)</f>
        <v>0</v>
      </c>
      <c r="O16" s="80">
        <f>IFERROR(IF($E16="%",H16*VLOOKUP($D16,Cost_by_Input!$A$7:$G$24,O$6,FALSE),H16),0)</f>
        <v>0</v>
      </c>
      <c r="P16" s="80">
        <f>IFERROR(IF($E16="%",I16*VLOOKUP($D16,Cost_by_Input!$A$7:$G$24,P$6,FALSE),I16),0)</f>
        <v>0</v>
      </c>
      <c r="Q16" s="80">
        <f>IFERROR(IF($E16="%",J16*VLOOKUP($D16,Cost_by_Input!$A$7:$G$24,Q$6,FALSE),J16),0)</f>
        <v>0</v>
      </c>
      <c r="R16" s="80">
        <f>IFERROR(IF($E16="%",K16*VLOOKUP($D16,Cost_by_Input!$A$7:$G$24,R$6,FALSE),K16),0)</f>
        <v>0</v>
      </c>
      <c r="S16" s="81">
        <f>IFERROR(IF($E16="%",L16*VLOOKUP($D16,Cost_by_Input!$A$7:$G$24,S$6,FALSE),L16),0)</f>
        <v>0</v>
      </c>
    </row>
    <row r="17" spans="1:19" s="3" customFormat="1">
      <c r="A17" s="3">
        <v>9</v>
      </c>
      <c r="B17" s="555"/>
      <c r="C17" s="913"/>
      <c r="D17" s="913"/>
      <c r="E17" s="915"/>
      <c r="G17" s="910"/>
      <c r="H17" s="911"/>
      <c r="I17" s="911"/>
      <c r="J17" s="911"/>
      <c r="K17" s="911"/>
      <c r="L17" s="912"/>
      <c r="N17" s="294">
        <f>IFERROR(IF($E17="%",G17*VLOOKUP($D17,Cost_by_Input!$A$7:$G$24,N$6,FALSE),G17),0)</f>
        <v>0</v>
      </c>
      <c r="O17" s="80">
        <f>IFERROR(IF($E17="%",H17*VLOOKUP($D17,Cost_by_Input!$A$7:$G$24,O$6,FALSE),H17),0)</f>
        <v>0</v>
      </c>
      <c r="P17" s="80">
        <f>IFERROR(IF($E17="%",I17*VLOOKUP($D17,Cost_by_Input!$A$7:$G$24,P$6,FALSE),I17),0)</f>
        <v>0</v>
      </c>
      <c r="Q17" s="80">
        <f>IFERROR(IF($E17="%",J17*VLOOKUP($D17,Cost_by_Input!$A$7:$G$24,Q$6,FALSE),J17),0)</f>
        <v>0</v>
      </c>
      <c r="R17" s="80">
        <f>IFERROR(IF($E17="%",K17*VLOOKUP($D17,Cost_by_Input!$A$7:$G$24,R$6,FALSE),K17),0)</f>
        <v>0</v>
      </c>
      <c r="S17" s="81">
        <f>IFERROR(IF($E17="%",L17*VLOOKUP($D17,Cost_by_Input!$A$7:$G$24,S$6,FALSE),L17),0)</f>
        <v>0</v>
      </c>
    </row>
    <row r="18" spans="1:19" s="3" customFormat="1">
      <c r="A18" s="3">
        <v>10</v>
      </c>
      <c r="B18" s="555"/>
      <c r="C18" s="913"/>
      <c r="D18" s="913"/>
      <c r="E18" s="915"/>
      <c r="G18" s="910"/>
      <c r="H18" s="911"/>
      <c r="I18" s="911"/>
      <c r="J18" s="911"/>
      <c r="K18" s="911"/>
      <c r="L18" s="912"/>
      <c r="N18" s="294">
        <f>IFERROR(IF($E18="%",G18*VLOOKUP($D18,Cost_by_Input!$A$7:$G$24,N$6,FALSE),G18),0)</f>
        <v>0</v>
      </c>
      <c r="O18" s="80">
        <f>IFERROR(IF($E18="%",H18*VLOOKUP($D18,Cost_by_Input!$A$7:$G$24,O$6,FALSE),H18),0)</f>
        <v>0</v>
      </c>
      <c r="P18" s="80">
        <f>IFERROR(IF($E18="%",I18*VLOOKUP($D18,Cost_by_Input!$A$7:$G$24,P$6,FALSE),I18),0)</f>
        <v>0</v>
      </c>
      <c r="Q18" s="80">
        <f>IFERROR(IF($E18="%",J18*VLOOKUP($D18,Cost_by_Input!$A$7:$G$24,Q$6,FALSE),J18),0)</f>
        <v>0</v>
      </c>
      <c r="R18" s="80">
        <f>IFERROR(IF($E18="%",K18*VLOOKUP($D18,Cost_by_Input!$A$7:$G$24,R$6,FALSE),K18),0)</f>
        <v>0</v>
      </c>
      <c r="S18" s="81">
        <f>IFERROR(IF($E18="%",L18*VLOOKUP($D18,Cost_by_Input!$A$7:$G$24,S$6,FALSE),L18),0)</f>
        <v>0</v>
      </c>
    </row>
    <row r="19" spans="1:19" s="3" customFormat="1">
      <c r="A19" s="3">
        <v>11</v>
      </c>
      <c r="B19" s="555"/>
      <c r="C19" s="913"/>
      <c r="D19" s="913"/>
      <c r="E19" s="915"/>
      <c r="G19" s="910"/>
      <c r="H19" s="911"/>
      <c r="I19" s="911"/>
      <c r="J19" s="911"/>
      <c r="K19" s="911"/>
      <c r="L19" s="912"/>
      <c r="N19" s="294">
        <f>IFERROR(IF($E19="%",G19*VLOOKUP($D19,Cost_by_Input!$A$7:$G$24,N$6,FALSE),G19),0)</f>
        <v>0</v>
      </c>
      <c r="O19" s="80">
        <f>IFERROR(IF($E19="%",H19*VLOOKUP($D19,Cost_by_Input!$A$7:$G$24,O$6,FALSE),H19),0)</f>
        <v>0</v>
      </c>
      <c r="P19" s="80">
        <f>IFERROR(IF($E19="%",I19*VLOOKUP($D19,Cost_by_Input!$A$7:$G$24,P$6,FALSE),I19),0)</f>
        <v>0</v>
      </c>
      <c r="Q19" s="80">
        <f>IFERROR(IF($E19="%",J19*VLOOKUP($D19,Cost_by_Input!$A$7:$G$24,Q$6,FALSE),J19),0)</f>
        <v>0</v>
      </c>
      <c r="R19" s="80">
        <f>IFERROR(IF($E19="%",K19*VLOOKUP($D19,Cost_by_Input!$A$7:$G$24,R$6,FALSE),K19),0)</f>
        <v>0</v>
      </c>
      <c r="S19" s="81">
        <f>IFERROR(IF($E19="%",L19*VLOOKUP($D19,Cost_by_Input!$A$7:$G$24,S$6,FALSE),L19),0)</f>
        <v>0</v>
      </c>
    </row>
    <row r="20" spans="1:19" s="3" customFormat="1">
      <c r="A20" s="3">
        <v>12</v>
      </c>
      <c r="B20" s="555"/>
      <c r="C20" s="913"/>
      <c r="D20" s="913"/>
      <c r="E20" s="915"/>
      <c r="G20" s="910"/>
      <c r="H20" s="911"/>
      <c r="I20" s="911"/>
      <c r="J20" s="911"/>
      <c r="K20" s="911"/>
      <c r="L20" s="912"/>
      <c r="N20" s="294">
        <f>IFERROR(IF($E20="%",G20*VLOOKUP($D20,Cost_by_Input!$A$7:$G$24,N$6,FALSE),G20),0)</f>
        <v>0</v>
      </c>
      <c r="O20" s="80">
        <f>IFERROR(IF($E20="%",H20*VLOOKUP($D20,Cost_by_Input!$A$7:$G$24,O$6,FALSE),H20),0)</f>
        <v>0</v>
      </c>
      <c r="P20" s="80">
        <f>IFERROR(IF($E20="%",I20*VLOOKUP($D20,Cost_by_Input!$A$7:$G$24,P$6,FALSE),I20),0)</f>
        <v>0</v>
      </c>
      <c r="Q20" s="80">
        <f>IFERROR(IF($E20="%",J20*VLOOKUP($D20,Cost_by_Input!$A$7:$G$24,Q$6,FALSE),J20),0)</f>
        <v>0</v>
      </c>
      <c r="R20" s="80">
        <f>IFERROR(IF($E20="%",K20*VLOOKUP($D20,Cost_by_Input!$A$7:$G$24,R$6,FALSE),K20),0)</f>
        <v>0</v>
      </c>
      <c r="S20" s="81">
        <f>IFERROR(IF($E20="%",L20*VLOOKUP($D20,Cost_by_Input!$A$7:$G$24,S$6,FALSE),L20),0)</f>
        <v>0</v>
      </c>
    </row>
    <row r="21" spans="1:19" s="3" customFormat="1">
      <c r="A21" s="3">
        <v>13</v>
      </c>
      <c r="B21" s="555"/>
      <c r="C21" s="913"/>
      <c r="D21" s="913"/>
      <c r="E21" s="915"/>
      <c r="G21" s="910"/>
      <c r="H21" s="911"/>
      <c r="I21" s="911"/>
      <c r="J21" s="911"/>
      <c r="K21" s="911"/>
      <c r="L21" s="912"/>
      <c r="N21" s="294">
        <f>IFERROR(IF($E21="%",G21*VLOOKUP($D21,Cost_by_Input!$A$7:$G$24,N$6,FALSE),G21),0)</f>
        <v>0</v>
      </c>
      <c r="O21" s="80">
        <f>IFERROR(IF($E21="%",H21*VLOOKUP($D21,Cost_by_Input!$A$7:$G$24,O$6,FALSE),H21),0)</f>
        <v>0</v>
      </c>
      <c r="P21" s="80">
        <f>IFERROR(IF($E21="%",I21*VLOOKUP($D21,Cost_by_Input!$A$7:$G$24,P$6,FALSE),I21),0)</f>
        <v>0</v>
      </c>
      <c r="Q21" s="80">
        <f>IFERROR(IF($E21="%",J21*VLOOKUP($D21,Cost_by_Input!$A$7:$G$24,Q$6,FALSE),J21),0)</f>
        <v>0</v>
      </c>
      <c r="R21" s="80">
        <f>IFERROR(IF($E21="%",K21*VLOOKUP($D21,Cost_by_Input!$A$7:$G$24,R$6,FALSE),K21),0)</f>
        <v>0</v>
      </c>
      <c r="S21" s="81">
        <f>IFERROR(IF($E21="%",L21*VLOOKUP($D21,Cost_by_Input!$A$7:$G$24,S$6,FALSE),L21),0)</f>
        <v>0</v>
      </c>
    </row>
    <row r="22" spans="1:19" s="3" customFormat="1">
      <c r="A22" s="3">
        <v>14</v>
      </c>
      <c r="B22" s="555"/>
      <c r="C22" s="913"/>
      <c r="D22" s="913"/>
      <c r="E22" s="915"/>
      <c r="G22" s="910"/>
      <c r="H22" s="911"/>
      <c r="I22" s="911"/>
      <c r="J22" s="911"/>
      <c r="K22" s="911"/>
      <c r="L22" s="912"/>
      <c r="N22" s="294">
        <f>IFERROR(IF($E22="%",G22*VLOOKUP($D22,Cost_by_Input!$A$7:$G$24,N$6,FALSE),G22),0)</f>
        <v>0</v>
      </c>
      <c r="O22" s="80">
        <f>IFERROR(IF($E22="%",H22*VLOOKUP($D22,Cost_by_Input!$A$7:$G$24,O$6,FALSE),H22),0)</f>
        <v>0</v>
      </c>
      <c r="P22" s="80">
        <f>IFERROR(IF($E22="%",I22*VLOOKUP($D22,Cost_by_Input!$A$7:$G$24,P$6,FALSE),I22),0)</f>
        <v>0</v>
      </c>
      <c r="Q22" s="80">
        <f>IFERROR(IF($E22="%",J22*VLOOKUP($D22,Cost_by_Input!$A$7:$G$24,Q$6,FALSE),J22),0)</f>
        <v>0</v>
      </c>
      <c r="R22" s="80">
        <f>IFERROR(IF($E22="%",K22*VLOOKUP($D22,Cost_by_Input!$A$7:$G$24,R$6,FALSE),K22),0)</f>
        <v>0</v>
      </c>
      <c r="S22" s="81">
        <f>IFERROR(IF($E22="%",L22*VLOOKUP($D22,Cost_by_Input!$A$7:$G$24,S$6,FALSE),L22),0)</f>
        <v>0</v>
      </c>
    </row>
    <row r="23" spans="1:19" s="3" customFormat="1">
      <c r="A23" s="3">
        <v>15</v>
      </c>
      <c r="B23" s="559"/>
      <c r="C23" s="560"/>
      <c r="D23" s="560"/>
      <c r="E23" s="965"/>
      <c r="G23" s="966"/>
      <c r="H23" s="967"/>
      <c r="I23" s="967"/>
      <c r="J23" s="967"/>
      <c r="K23" s="967"/>
      <c r="L23" s="968"/>
      <c r="N23" s="295">
        <f>IFERROR(IF($E23="%",G23*VLOOKUP($D23,Cost_by_Input!$A$7:$G$24,N$6,FALSE),G23),0)</f>
        <v>0</v>
      </c>
      <c r="O23" s="86">
        <f>IFERROR(IF($E23="%",H23*VLOOKUP($D23,Cost_by_Input!$A$7:$G$24,O$6,FALSE),H23),0)</f>
        <v>0</v>
      </c>
      <c r="P23" s="86">
        <f>IFERROR(IF($E23="%",I23*VLOOKUP($D23,Cost_by_Input!$A$7:$G$24,P$6,FALSE),I23),0)</f>
        <v>0</v>
      </c>
      <c r="Q23" s="86">
        <f>IFERROR(IF($E23="%",J23*VLOOKUP($D23,Cost_by_Input!$A$7:$G$24,Q$6,FALSE),J23),0)</f>
        <v>0</v>
      </c>
      <c r="R23" s="86">
        <f>IFERROR(IF($E23="%",K23*VLOOKUP($D23,Cost_by_Input!$A$7:$G$24,R$6,FALSE),K23),0)</f>
        <v>0</v>
      </c>
      <c r="S23" s="87">
        <f>IFERROR(IF($E23="%",L23*VLOOKUP($D23,Cost_by_Input!$A$7:$G$24,S$6,FALSE),L23),0)</f>
        <v>0</v>
      </c>
    </row>
    <row r="37" spans="4:4">
      <c r="D37" s="3"/>
    </row>
    <row r="38" spans="4:4" s="3" customFormat="1">
      <c r="D38" s="4"/>
    </row>
  </sheetData>
  <sheetProtection selectLockedCells="1"/>
  <mergeCells count="3">
    <mergeCell ref="B5:E5"/>
    <mergeCell ref="G5:L5"/>
    <mergeCell ref="N5:S5"/>
  </mergeCells>
  <conditionalFormatting sqref="G9:L9">
    <cfRule type="expression" dxfId="3" priority="2">
      <formula>$E$9="%"</formula>
    </cfRule>
  </conditionalFormatting>
  <conditionalFormatting sqref="G10:L23">
    <cfRule type="expression" dxfId="2" priority="1">
      <formula>$E10="%"</formula>
    </cfRule>
  </conditionalFormatting>
  <dataValidations count="4">
    <dataValidation type="list" allowBlank="1" showInputMessage="1" showErrorMessage="1" sqref="E9:E23">
      <formula1>"%, Amount"</formula1>
    </dataValidation>
    <dataValidation type="list" allowBlank="1" showInputMessage="1" showErrorMessage="1" sqref="B9:B23">
      <formula1>funding_sources</formula1>
    </dataValidation>
    <dataValidation type="list" allowBlank="1" showInputMessage="1" showErrorMessage="1" sqref="D9:D23">
      <formula1>input_list</formula1>
    </dataValidation>
    <dataValidation type="list" allowBlank="1" showInputMessage="1" showErrorMessage="1" sqref="C9:C23">
      <formula1>program_list</formula1>
    </dataValidation>
  </dataValidations>
  <pageMargins left="0.7" right="0.7" top="0.75" bottom="0.75" header="0.3" footer="0.3"/>
  <pageSetup paperSize="126"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
  <sheetViews>
    <sheetView showGridLines="0" workbookViewId="0">
      <selection activeCell="J8" sqref="J8"/>
    </sheetView>
  </sheetViews>
  <sheetFormatPr baseColWidth="10" defaultColWidth="8.88671875" defaultRowHeight="14.4"/>
  <sheetData>
    <row r="3" spans="2:2">
      <c r="B3" s="232" t="s">
        <v>1541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2"/>
  <sheetViews>
    <sheetView showGridLines="0" zoomScale="90" zoomScaleNormal="90" workbookViewId="0">
      <selection activeCell="M4" sqref="M4"/>
    </sheetView>
  </sheetViews>
  <sheetFormatPr baseColWidth="10" defaultColWidth="8.88671875" defaultRowHeight="14.4"/>
  <sheetData>
    <row r="1" spans="1:18" s="722" customFormat="1" ht="31.2">
      <c r="A1" s="1054" t="s">
        <v>1543</v>
      </c>
      <c r="B1" s="1054"/>
      <c r="C1" s="1054"/>
      <c r="D1" s="1054"/>
      <c r="E1" s="1054"/>
      <c r="F1" s="1054"/>
      <c r="G1" s="1054"/>
      <c r="H1" s="1054"/>
      <c r="I1" s="1054"/>
      <c r="J1" s="1054"/>
      <c r="K1" s="1054"/>
      <c r="L1" s="1054"/>
      <c r="M1" s="1054"/>
      <c r="N1" s="1054"/>
      <c r="O1" s="1054"/>
      <c r="P1" s="1054"/>
      <c r="Q1" s="1054"/>
      <c r="R1" s="1054"/>
    </row>
    <row r="2" spans="1:18">
      <c r="B2" s="231" t="str">
        <f>Title!B3</f>
        <v>v1 as of: 12-August-2021</v>
      </c>
    </row>
  </sheetData>
  <mergeCells count="1">
    <mergeCell ref="A1:R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155"/>
  <sheetViews>
    <sheetView showGridLines="0" zoomScale="90" zoomScaleNormal="90" workbookViewId="0">
      <pane ySplit="6" topLeftCell="A109" activePane="bottomLeft" state="frozen"/>
      <selection activeCell="J8" sqref="J8"/>
      <selection pane="bottomLeft" activeCell="A50" sqref="A50"/>
    </sheetView>
  </sheetViews>
  <sheetFormatPr baseColWidth="10" defaultColWidth="8.88671875" defaultRowHeight="14.4"/>
  <cols>
    <col min="1" max="1" width="28.44140625" customWidth="1"/>
    <col min="2" max="2" width="53.44140625" bestFit="1" customWidth="1"/>
    <col min="3" max="7" width="12.77734375" bestFit="1" customWidth="1"/>
    <col min="8" max="8" width="15" customWidth="1"/>
  </cols>
  <sheetData>
    <row r="1" spans="1:13" s="318" customFormat="1" ht="24" customHeight="1">
      <c r="A1" s="314" t="str">
        <f>"ASSISTIVE TECHNOLOGY PROGRAM SUMMARY TABLES ("&amp;currency_results&amp;")"</f>
        <v>ASSISTIVE TECHNOLOGY PROGRAM SUMMARY TABLES (ZAR)</v>
      </c>
      <c r="K1" s="332"/>
      <c r="L1" s="621">
        <f>IF(currency_used=currency_results,1,IF(currency_used="USD",2,IF(currency_results="USD",3,0)))</f>
        <v>0</v>
      </c>
      <c r="M1" s="333"/>
    </row>
    <row r="2" spans="1:13" s="215" customFormat="1" ht="18">
      <c r="A2" s="50" t="s">
        <v>598</v>
      </c>
      <c r="K2" s="216"/>
      <c r="L2" s="217"/>
      <c r="M2" s="217"/>
    </row>
    <row r="3" spans="1:13">
      <c r="A3" s="620" t="s">
        <v>1168</v>
      </c>
      <c r="B3" s="622" t="s">
        <v>600</v>
      </c>
    </row>
    <row r="5" spans="1:13" ht="15" thickBot="1"/>
    <row r="6" spans="1:13" ht="15" thickBot="1">
      <c r="C6" s="624">
        <f>baseline_year</f>
        <v>0</v>
      </c>
      <c r="D6" s="625">
        <f>baseline_year+1</f>
        <v>1</v>
      </c>
      <c r="E6" s="625">
        <f>D6+1</f>
        <v>2</v>
      </c>
      <c r="F6" s="625">
        <f>E6+1</f>
        <v>3</v>
      </c>
      <c r="G6" s="625">
        <f>F6+1</f>
        <v>4</v>
      </c>
      <c r="H6" s="626">
        <f>G6+1</f>
        <v>5</v>
      </c>
    </row>
    <row r="9" spans="1:13">
      <c r="B9" s="632" t="s">
        <v>1424</v>
      </c>
      <c r="C9" s="633"/>
      <c r="D9" s="633"/>
      <c r="E9" s="633"/>
      <c r="F9" s="633"/>
      <c r="G9" s="633"/>
      <c r="H9" s="634"/>
    </row>
    <row r="10" spans="1:13">
      <c r="B10" s="8" t="str">
        <f>"Total population of "&amp;selected_country&amp;""</f>
        <v xml:space="preserve">Total population of </v>
      </c>
      <c r="C10" s="938">
        <f>Demography!C7</f>
        <v>0</v>
      </c>
      <c r="D10" s="938">
        <f>Demography!D7</f>
        <v>0</v>
      </c>
      <c r="E10" s="938">
        <f>Demography!E7</f>
        <v>0</v>
      </c>
      <c r="F10" s="938">
        <f>Demography!F7</f>
        <v>0</v>
      </c>
      <c r="G10" s="938">
        <f>Demography!G7</f>
        <v>0</v>
      </c>
      <c r="H10" s="939">
        <f>Demography!H7</f>
        <v>0</v>
      </c>
    </row>
    <row r="11" spans="1:13">
      <c r="B11" s="8" t="s">
        <v>1388</v>
      </c>
      <c r="C11" s="938">
        <f>Demography!C10</f>
        <v>0</v>
      </c>
      <c r="D11" s="938">
        <f>Demography!D10</f>
        <v>0</v>
      </c>
      <c r="E11" s="938">
        <f>Demography!E10</f>
        <v>0</v>
      </c>
      <c r="F11" s="938">
        <f>Demography!F10</f>
        <v>0</v>
      </c>
      <c r="G11" s="938">
        <f>Demography!G10</f>
        <v>0</v>
      </c>
      <c r="H11" s="939">
        <f>Demography!H10</f>
        <v>0</v>
      </c>
    </row>
    <row r="12" spans="1:13">
      <c r="B12" s="623"/>
      <c r="C12" s="941"/>
      <c r="D12" s="941"/>
      <c r="E12" s="941"/>
      <c r="F12" s="941"/>
      <c r="G12" s="941"/>
      <c r="H12" s="942"/>
    </row>
    <row r="13" spans="1:13">
      <c r="C13" s="495"/>
      <c r="D13" s="495"/>
      <c r="E13" s="495"/>
      <c r="F13" s="495"/>
      <c r="G13" s="495"/>
      <c r="H13" s="495"/>
    </row>
    <row r="14" spans="1:13">
      <c r="C14" s="495"/>
      <c r="D14" s="495"/>
      <c r="E14" s="495"/>
      <c r="F14" s="495"/>
      <c r="G14" s="495"/>
      <c r="H14" s="495"/>
    </row>
    <row r="15" spans="1:13">
      <c r="B15" s="632" t="s">
        <v>1455</v>
      </c>
      <c r="C15" s="1017"/>
      <c r="D15" s="1017"/>
      <c r="E15" s="1017"/>
      <c r="F15" s="1017"/>
      <c r="G15" s="1017"/>
      <c r="H15" s="1018"/>
    </row>
    <row r="16" spans="1:13">
      <c r="B16" s="8" t="str">
        <f>IF(_rt1="","",_rt1)</f>
        <v/>
      </c>
      <c r="C16" s="938">
        <f>Summary_HCW!C84</f>
        <v>0</v>
      </c>
      <c r="D16" s="938">
        <f>Summary_HCW!D84</f>
        <v>0</v>
      </c>
      <c r="E16" s="938">
        <f>Summary_HCW!E84</f>
        <v>0</v>
      </c>
      <c r="F16" s="938">
        <f>Summary_HCW!F84</f>
        <v>0</v>
      </c>
      <c r="G16" s="938">
        <f>Summary_HCW!G84</f>
        <v>0</v>
      </c>
      <c r="H16" s="939">
        <f>Summary_HCW!H84</f>
        <v>0</v>
      </c>
    </row>
    <row r="17" spans="2:8">
      <c r="B17" s="8" t="str">
        <f>IF(_rt2="","",_rt2)</f>
        <v/>
      </c>
      <c r="C17" s="938">
        <f>Summary_HCW!C85</f>
        <v>0</v>
      </c>
      <c r="D17" s="938">
        <f>Summary_HCW!D85</f>
        <v>0</v>
      </c>
      <c r="E17" s="938">
        <f>Summary_HCW!E85</f>
        <v>0</v>
      </c>
      <c r="F17" s="938">
        <f>Summary_HCW!F85</f>
        <v>0</v>
      </c>
      <c r="G17" s="938">
        <f>Summary_HCW!G85</f>
        <v>0</v>
      </c>
      <c r="H17" s="939">
        <f>Summary_HCW!H85</f>
        <v>0</v>
      </c>
    </row>
    <row r="18" spans="2:8">
      <c r="B18" s="8" t="str">
        <f>IF(_rt3="","",_rt3)</f>
        <v/>
      </c>
      <c r="C18" s="938">
        <f>Summary_HCW!C86</f>
        <v>0</v>
      </c>
      <c r="D18" s="938">
        <f>Summary_HCW!D86</f>
        <v>0</v>
      </c>
      <c r="E18" s="938">
        <f>Summary_HCW!E86</f>
        <v>0</v>
      </c>
      <c r="F18" s="938">
        <f>Summary_HCW!F86</f>
        <v>0</v>
      </c>
      <c r="G18" s="938">
        <f>Summary_HCW!G86</f>
        <v>0</v>
      </c>
      <c r="H18" s="939">
        <f>Summary_HCW!H86</f>
        <v>0</v>
      </c>
    </row>
    <row r="19" spans="2:8">
      <c r="B19" s="8" t="str">
        <f>IF(_rt4="","",_rt4)</f>
        <v/>
      </c>
      <c r="C19" s="938">
        <f>Summary_HCW!C87</f>
        <v>0</v>
      </c>
      <c r="D19" s="938">
        <f>Summary_HCW!D87</f>
        <v>0</v>
      </c>
      <c r="E19" s="938">
        <f>Summary_HCW!E87</f>
        <v>0</v>
      </c>
      <c r="F19" s="938">
        <f>Summary_HCW!F87</f>
        <v>0</v>
      </c>
      <c r="G19" s="938">
        <f>Summary_HCW!G87</f>
        <v>0</v>
      </c>
      <c r="H19" s="939">
        <f>Summary_HCW!H87</f>
        <v>0</v>
      </c>
    </row>
    <row r="20" spans="2:8">
      <c r="B20" s="8" t="str">
        <f>IF(_rt5="","",_rt5)</f>
        <v/>
      </c>
      <c r="C20" s="938">
        <f>Summary_HCW!C88</f>
        <v>0</v>
      </c>
      <c r="D20" s="938">
        <f>Summary_HCW!D88</f>
        <v>0</v>
      </c>
      <c r="E20" s="938">
        <f>Summary_HCW!E88</f>
        <v>0</v>
      </c>
      <c r="F20" s="938">
        <f>Summary_HCW!F88</f>
        <v>0</v>
      </c>
      <c r="G20" s="938">
        <f>Summary_HCW!G88</f>
        <v>0</v>
      </c>
      <c r="H20" s="939">
        <f>Summary_HCW!H88</f>
        <v>0</v>
      </c>
    </row>
    <row r="21" spans="2:8">
      <c r="B21" s="8" t="str">
        <f>IF(_rt6="","",_rt6)</f>
        <v/>
      </c>
      <c r="C21" s="938">
        <f>Summary_HCW!C89</f>
        <v>0</v>
      </c>
      <c r="D21" s="938">
        <f>Summary_HCW!D89</f>
        <v>0</v>
      </c>
      <c r="E21" s="938">
        <f>Summary_HCW!E89</f>
        <v>0</v>
      </c>
      <c r="F21" s="938">
        <f>Summary_HCW!F89</f>
        <v>0</v>
      </c>
      <c r="G21" s="938">
        <f>Summary_HCW!G89</f>
        <v>0</v>
      </c>
      <c r="H21" s="939">
        <f>Summary_HCW!H89</f>
        <v>0</v>
      </c>
    </row>
    <row r="22" spans="2:8" ht="15" thickBot="1">
      <c r="B22" s="8" t="str">
        <f>IF(_rt7="","",_rt7)</f>
        <v/>
      </c>
      <c r="C22" s="938">
        <f>Summary_HCW!C90</f>
        <v>0</v>
      </c>
      <c r="D22" s="938">
        <f>Summary_HCW!D90</f>
        <v>0</v>
      </c>
      <c r="E22" s="938">
        <f>Summary_HCW!E90</f>
        <v>0</v>
      </c>
      <c r="F22" s="938">
        <f>Summary_HCW!F90</f>
        <v>0</v>
      </c>
      <c r="G22" s="938">
        <f>Summary_HCW!G90</f>
        <v>0</v>
      </c>
      <c r="H22" s="939">
        <f>Summary_HCW!H90</f>
        <v>0</v>
      </c>
    </row>
    <row r="23" spans="2:8" ht="15" thickBot="1">
      <c r="B23" s="515" t="s">
        <v>1345</v>
      </c>
      <c r="C23" s="1019">
        <f t="shared" ref="C23:H23" si="0">SUM(C16:C22)</f>
        <v>0</v>
      </c>
      <c r="D23" s="1019">
        <f t="shared" si="0"/>
        <v>0</v>
      </c>
      <c r="E23" s="1019">
        <f t="shared" si="0"/>
        <v>0</v>
      </c>
      <c r="F23" s="1019">
        <f t="shared" si="0"/>
        <v>0</v>
      </c>
      <c r="G23" s="1019">
        <f t="shared" si="0"/>
        <v>0</v>
      </c>
      <c r="H23" s="1020">
        <f t="shared" si="0"/>
        <v>0</v>
      </c>
    </row>
    <row r="24" spans="2:8">
      <c r="C24" s="495"/>
      <c r="D24" s="495"/>
      <c r="E24" s="495"/>
      <c r="F24" s="495"/>
      <c r="G24" s="495"/>
      <c r="H24" s="495"/>
    </row>
    <row r="25" spans="2:8">
      <c r="C25" s="495"/>
      <c r="D25" s="495"/>
      <c r="E25" s="495"/>
      <c r="F25" s="495"/>
      <c r="G25" s="495"/>
      <c r="H25" s="495"/>
    </row>
    <row r="26" spans="2:8">
      <c r="B26" s="632" t="s">
        <v>1426</v>
      </c>
      <c r="C26" s="1017"/>
      <c r="D26" s="1017"/>
      <c r="E26" s="1017"/>
      <c r="F26" s="1017"/>
      <c r="G26" s="1017"/>
      <c r="H26" s="1018"/>
    </row>
    <row r="27" spans="2:8">
      <c r="B27" s="8" t="str">
        <f>Lists!E2</f>
        <v>Promotional</v>
      </c>
      <c r="C27" s="938" t="b">
        <f>IF(currency_calculation=1,SUMIF(Summary_Services!$E$6:$E$105,$B27,Summary_Services!Y$6:Y$105),IF(currency_calculation=2,SUMIF(Summary_Services!$E$6:$E$105,$B27,Summary_Services!Y$6:Y$105)*exchange_rate,IF(currency_calculation=3,SUMIF(Summary_Services!$E$6:$E$105,$B27,Summary_Services!Y$6:Y$105)/exchange_rate)))</f>
        <v>0</v>
      </c>
      <c r="D27" s="938" t="b">
        <f>IF(currency_calculation=1,SUMIF(Summary_Services!$E$6:$E$105,$B27,Summary_Services!Z$6:Z$105),IF(currency_calculation=2,SUMIF(Summary_Services!$E$6:$E$105,$B27,Summary_Services!Z$6:Z$105)*exchange_rate,IF(currency_calculation=3,SUMIF(Summary_Services!$E$6:$E$105,$B27,Summary_Services!Z$6:Z$105)/exchange_rate)))</f>
        <v>0</v>
      </c>
      <c r="E27" s="938" t="b">
        <f>IF(currency_calculation=1,SUMIF(Summary_Services!$E$6:$E$105,$B27,Summary_Services!AA$6:AA$105),IF(currency_calculation=2,SUMIF(Summary_Services!$E$6:$E$105,$B27,Summary_Services!AA$6:AA$105)*exchange_rate,IF(currency_calculation=3,SUMIF(Summary_Services!$E$6:$E$105,$B27,Summary_Services!AA$6:AA$105)/exchange_rate)))</f>
        <v>0</v>
      </c>
      <c r="F27" s="938" t="b">
        <f>IF(currency_calculation=1,SUMIF(Summary_Services!$E$6:$E$105,$B27,Summary_Services!AB$6:AB$105),IF(currency_calculation=2,SUMIF(Summary_Services!$E$6:$E$105,$B27,Summary_Services!AB$6:AB$105)*exchange_rate,IF(currency_calculation=3,SUMIF(Summary_Services!$E$6:$E$105,$B27,Summary_Services!AB$6:AB$105)/exchange_rate)))</f>
        <v>0</v>
      </c>
      <c r="G27" s="938" t="b">
        <f>IF(currency_calculation=1,SUMIF(Summary_Services!$E$6:$E$105,$B27,Summary_Services!AC$6:AC$105),IF(currency_calculation=2,SUMIF(Summary_Services!$E$6:$E$105,$B27,Summary_Services!AC$6:AC$105)*exchange_rate,IF(currency_calculation=3,SUMIF(Summary_Services!$E$6:$E$105,$B27,Summary_Services!AC$6:AC$105)/exchange_rate)))</f>
        <v>0</v>
      </c>
      <c r="H27" s="939" t="b">
        <f>IF(currency_calculation=1,SUMIF(Summary_Services!$E$6:$E$105,$B27,Summary_Services!AD$6:AD$105),IF(currency_calculation=2,SUMIF(Summary_Services!$E$6:$E$105,$B27,Summary_Services!AD$6:AD$105)*exchange_rate,IF(currency_calculation=3,SUMIF(Summary_Services!$E$6:$E$105,$B27,Summary_Services!AD$6:AD$105)/exchange_rate)))</f>
        <v>0</v>
      </c>
    </row>
    <row r="28" spans="2:8">
      <c r="B28" s="8" t="str">
        <f>Lists!E3</f>
        <v>Preventive</v>
      </c>
      <c r="C28" s="938" t="b">
        <f>IF(currency_calculation=1,SUMIF(Summary_Services!$E$6:$E$105,$B28,Summary_Services!Y$6:Y$105),IF(currency_calculation=2,SUMIF(Summary_Services!$E$6:$E$105,$B28,Summary_Services!Y$6:Y$105)*exchange_rate,IF(currency_calculation=3,SUMIF(Summary_Services!$E$6:$E$105,$B28,Summary_Services!Y$6:Y$105)/exchange_rate)))</f>
        <v>0</v>
      </c>
      <c r="D28" s="938" t="b">
        <f>IF(currency_calculation=1,SUMIF(Summary_Services!$E$6:$E$105,$B28,Summary_Services!Z$6:Z$105),IF(currency_calculation=2,SUMIF(Summary_Services!$E$6:$E$105,$B28,Summary_Services!Z$6:Z$105)*exchange_rate,IF(currency_calculation=3,SUMIF(Summary_Services!$E$6:$E$105,$B28,Summary_Services!Z$6:Z$105)/exchange_rate)))</f>
        <v>0</v>
      </c>
      <c r="E28" s="938" t="b">
        <f>IF(currency_calculation=1,SUMIF(Summary_Services!$E$6:$E$105,$B28,Summary_Services!AA$6:AA$105),IF(currency_calculation=2,SUMIF(Summary_Services!$E$6:$E$105,$B28,Summary_Services!AA$6:AA$105)*exchange_rate,IF(currency_calculation=3,SUMIF(Summary_Services!$E$6:$E$105,$B28,Summary_Services!AA$6:AA$105)/exchange_rate)))</f>
        <v>0</v>
      </c>
      <c r="F28" s="938" t="b">
        <f>IF(currency_calculation=1,SUMIF(Summary_Services!$E$6:$E$105,$B28,Summary_Services!AB$6:AB$105),IF(currency_calculation=2,SUMIF(Summary_Services!$E$6:$E$105,$B28,Summary_Services!AB$6:AB$105)*exchange_rate,IF(currency_calculation=3,SUMIF(Summary_Services!$E$6:$E$105,$B28,Summary_Services!AB$6:AB$105)/exchange_rate)))</f>
        <v>0</v>
      </c>
      <c r="G28" s="938" t="b">
        <f>IF(currency_calculation=1,SUMIF(Summary_Services!$E$6:$E$105,$B28,Summary_Services!AC$6:AC$105),IF(currency_calculation=2,SUMIF(Summary_Services!$E$6:$E$105,$B28,Summary_Services!AC$6:AC$105)*exchange_rate,IF(currency_calculation=3,SUMIF(Summary_Services!$E$6:$E$105,$B28,Summary_Services!AC$6:AC$105)/exchange_rate)))</f>
        <v>0</v>
      </c>
      <c r="H28" s="939" t="b">
        <f>IF(currency_calculation=1,SUMIF(Summary_Services!$E$6:$E$105,$B28,Summary_Services!AD$6:AD$105),IF(currency_calculation=2,SUMIF(Summary_Services!$E$6:$E$105,$B28,Summary_Services!AD$6:AD$105)*exchange_rate,IF(currency_calculation=3,SUMIF(Summary_Services!$E$6:$E$105,$B28,Summary_Services!AD$6:AD$105)/exchange_rate)))</f>
        <v>0</v>
      </c>
    </row>
    <row r="29" spans="2:8">
      <c r="B29" s="8" t="str">
        <f>Lists!E4</f>
        <v>Curative</v>
      </c>
      <c r="C29" s="938" t="b">
        <f>IF(currency_calculation=1,SUMIF(Summary_Services!$E$6:$E$105,$B29,Summary_Services!Y$6:Y$105),IF(currency_calculation=2,SUMIF(Summary_Services!$E$6:$E$105,$B29,Summary_Services!Y$6:Y$105)*exchange_rate,IF(currency_calculation=3,SUMIF(Summary_Services!$E$6:$E$105,$B29,Summary_Services!Y$6:Y$105)/exchange_rate)))</f>
        <v>0</v>
      </c>
      <c r="D29" s="938" t="b">
        <f>IF(currency_calculation=1,SUMIF(Summary_Services!$E$6:$E$105,$B29,Summary_Services!Z$6:Z$105),IF(currency_calculation=2,SUMIF(Summary_Services!$E$6:$E$105,$B29,Summary_Services!Z$6:Z$105)*exchange_rate,IF(currency_calculation=3,SUMIF(Summary_Services!$E$6:$E$105,$B29,Summary_Services!Z$6:Z$105)/exchange_rate)))</f>
        <v>0</v>
      </c>
      <c r="E29" s="938" t="b">
        <f>IF(currency_calculation=1,SUMIF(Summary_Services!$E$6:$E$105,$B29,Summary_Services!AA$6:AA$105),IF(currency_calculation=2,SUMIF(Summary_Services!$E$6:$E$105,$B29,Summary_Services!AA$6:AA$105)*exchange_rate,IF(currency_calculation=3,SUMIF(Summary_Services!$E$6:$E$105,$B29,Summary_Services!AA$6:AA$105)/exchange_rate)))</f>
        <v>0</v>
      </c>
      <c r="F29" s="938" t="b">
        <f>IF(currency_calculation=1,SUMIF(Summary_Services!$E$6:$E$105,$B29,Summary_Services!AB$6:AB$105),IF(currency_calculation=2,SUMIF(Summary_Services!$E$6:$E$105,$B29,Summary_Services!AB$6:AB$105)*exchange_rate,IF(currency_calculation=3,SUMIF(Summary_Services!$E$6:$E$105,$B29,Summary_Services!AB$6:AB$105)/exchange_rate)))</f>
        <v>0</v>
      </c>
      <c r="G29" s="938" t="b">
        <f>IF(currency_calculation=1,SUMIF(Summary_Services!$E$6:$E$105,$B29,Summary_Services!AC$6:AC$105),IF(currency_calculation=2,SUMIF(Summary_Services!$E$6:$E$105,$B29,Summary_Services!AC$6:AC$105)*exchange_rate,IF(currency_calculation=3,SUMIF(Summary_Services!$E$6:$E$105,$B29,Summary_Services!AC$6:AC$105)/exchange_rate)))</f>
        <v>0</v>
      </c>
      <c r="H29" s="939" t="b">
        <f>IF(currency_calculation=1,SUMIF(Summary_Services!$E$6:$E$105,$B29,Summary_Services!AD$6:AD$105),IF(currency_calculation=2,SUMIF(Summary_Services!$E$6:$E$105,$B29,Summary_Services!AD$6:AD$105)*exchange_rate,IF(currency_calculation=3,SUMIF(Summary_Services!$E$6:$E$105,$B29,Summary_Services!AD$6:AD$105)/exchange_rate)))</f>
        <v>0</v>
      </c>
    </row>
    <row r="30" spans="2:8">
      <c r="B30" s="8" t="str">
        <f>Lists!E5</f>
        <v xml:space="preserve">Rehabilitative </v>
      </c>
      <c r="C30" s="938" t="b">
        <f>IF(currency_calculation=1,SUMIF(Summary_Services!$E$6:$E$105,$B30,Summary_Services!Y$6:Y$105),IF(currency_calculation=2,SUMIF(Summary_Services!$E$6:$E$105,$B30,Summary_Services!Y$6:Y$105)*exchange_rate,IF(currency_calculation=3,SUMIF(Summary_Services!$E$6:$E$105,$B30,Summary_Services!Y$6:Y$105)/exchange_rate)))</f>
        <v>0</v>
      </c>
      <c r="D30" s="938" t="b">
        <f>IF(currency_calculation=1,SUMIF(Summary_Services!$E$6:$E$105,$B30,Summary_Services!Z$6:Z$105),IF(currency_calculation=2,SUMIF(Summary_Services!$E$6:$E$105,$B30,Summary_Services!Z$6:Z$105)*exchange_rate,IF(currency_calculation=3,SUMIF(Summary_Services!$E$6:$E$105,$B30,Summary_Services!Z$6:Z$105)/exchange_rate)))</f>
        <v>0</v>
      </c>
      <c r="E30" s="938" t="b">
        <f>IF(currency_calculation=1,SUMIF(Summary_Services!$E$6:$E$105,$B30,Summary_Services!AA$6:AA$105),IF(currency_calculation=2,SUMIF(Summary_Services!$E$6:$E$105,$B30,Summary_Services!AA$6:AA$105)*exchange_rate,IF(currency_calculation=3,SUMIF(Summary_Services!$E$6:$E$105,$B30,Summary_Services!AA$6:AA$105)/exchange_rate)))</f>
        <v>0</v>
      </c>
      <c r="F30" s="938" t="b">
        <f>IF(currency_calculation=1,SUMIF(Summary_Services!$E$6:$E$105,$B30,Summary_Services!AB$6:AB$105),IF(currency_calculation=2,SUMIF(Summary_Services!$E$6:$E$105,$B30,Summary_Services!AB$6:AB$105)*exchange_rate,IF(currency_calculation=3,SUMIF(Summary_Services!$E$6:$E$105,$B30,Summary_Services!AB$6:AB$105)/exchange_rate)))</f>
        <v>0</v>
      </c>
      <c r="G30" s="938" t="b">
        <f>IF(currency_calculation=1,SUMIF(Summary_Services!$E$6:$E$105,$B30,Summary_Services!AC$6:AC$105),IF(currency_calculation=2,SUMIF(Summary_Services!$E$6:$E$105,$B30,Summary_Services!AC$6:AC$105)*exchange_rate,IF(currency_calculation=3,SUMIF(Summary_Services!$E$6:$E$105,$B30,Summary_Services!AC$6:AC$105)/exchange_rate)))</f>
        <v>0</v>
      </c>
      <c r="H30" s="939" t="b">
        <f>IF(currency_calculation=1,SUMIF(Summary_Services!$E$6:$E$105,$B30,Summary_Services!AD$6:AD$105),IF(currency_calculation=2,SUMIF(Summary_Services!$E$6:$E$105,$B30,Summary_Services!AD$6:AD$105)*exchange_rate,IF(currency_calculation=3,SUMIF(Summary_Services!$E$6:$E$105,$B30,Summary_Services!AD$6:AD$105)/exchange_rate)))</f>
        <v>0</v>
      </c>
    </row>
    <row r="31" spans="2:8">
      <c r="B31" s="8" t="str">
        <f>Lists!E6</f>
        <v xml:space="preserve">Campaigns </v>
      </c>
      <c r="C31" s="938" t="b">
        <f>IF(currency_calculation=1,SUMIF(Summary_Services!$E$6:$E$105,$B31,Summary_Services!Y$6:Y$105),IF(currency_calculation=2,SUMIF(Summary_Services!$E$6:$E$105,$B31,Summary_Services!Y$6:Y$105)*exchange_rate,IF(currency_calculation=3,SUMIF(Summary_Services!$E$6:$E$105,$B31,Summary_Services!Y$6:Y$105)/exchange_rate)))</f>
        <v>0</v>
      </c>
      <c r="D31" s="938" t="b">
        <f>IF(currency_calculation=1,SUMIF(Summary_Services!$E$6:$E$105,$B31,Summary_Services!Z$6:Z$105),IF(currency_calculation=2,SUMIF(Summary_Services!$E$6:$E$105,$B31,Summary_Services!Z$6:Z$105)*exchange_rate,IF(currency_calculation=3,SUMIF(Summary_Services!$E$6:$E$105,$B31,Summary_Services!Z$6:Z$105)/exchange_rate)))</f>
        <v>0</v>
      </c>
      <c r="E31" s="938" t="b">
        <f>IF(currency_calculation=1,SUMIF(Summary_Services!$E$6:$E$105,$B31,Summary_Services!AA$6:AA$105),IF(currency_calculation=2,SUMIF(Summary_Services!$E$6:$E$105,$B31,Summary_Services!AA$6:AA$105)*exchange_rate,IF(currency_calculation=3,SUMIF(Summary_Services!$E$6:$E$105,$B31,Summary_Services!AA$6:AA$105)/exchange_rate)))</f>
        <v>0</v>
      </c>
      <c r="F31" s="938" t="b">
        <f>IF(currency_calculation=1,SUMIF(Summary_Services!$E$6:$E$105,$B31,Summary_Services!AB$6:AB$105),IF(currency_calculation=2,SUMIF(Summary_Services!$E$6:$E$105,$B31,Summary_Services!AB$6:AB$105)*exchange_rate,IF(currency_calculation=3,SUMIF(Summary_Services!$E$6:$E$105,$B31,Summary_Services!AB$6:AB$105)/exchange_rate)))</f>
        <v>0</v>
      </c>
      <c r="G31" s="938" t="b">
        <f>IF(currency_calculation=1,SUMIF(Summary_Services!$E$6:$E$105,$B31,Summary_Services!AC$6:AC$105),IF(currency_calculation=2,SUMIF(Summary_Services!$E$6:$E$105,$B31,Summary_Services!AC$6:AC$105)*exchange_rate,IF(currency_calculation=3,SUMIF(Summary_Services!$E$6:$E$105,$B31,Summary_Services!AC$6:AC$105)/exchange_rate)))</f>
        <v>0</v>
      </c>
      <c r="H31" s="939" t="b">
        <f>IF(currency_calculation=1,SUMIF(Summary_Services!$E$6:$E$105,$B31,Summary_Services!AD$6:AD$105),IF(currency_calculation=2,SUMIF(Summary_Services!$E$6:$E$105,$B31,Summary_Services!AD$6:AD$105)*exchange_rate,IF(currency_calculation=3,SUMIF(Summary_Services!$E$6:$E$105,$B31,Summary_Services!AD$6:AD$105)/exchange_rate)))</f>
        <v>0</v>
      </c>
    </row>
    <row r="32" spans="2:8" ht="15" thickBot="1">
      <c r="B32" s="8" t="str">
        <f>Lists!E7</f>
        <v>Administrative</v>
      </c>
      <c r="C32" s="938" t="b">
        <f>IF(currency_calculation=1,SUMIF(Summary_Services!$E$6:$E$105,$B32,Summary_Services!Y$6:Y$105),IF(currency_calculation=2,SUMIF(Summary_Services!$E$6:$E$105,$B32,Summary_Services!Y$6:Y$105)*exchange_rate,IF(currency_calculation=3,SUMIF(Summary_Services!$E$6:$E$105,$B32,Summary_Services!Y$6:Y$105)/exchange_rate)))</f>
        <v>0</v>
      </c>
      <c r="D32" s="938" t="b">
        <f>IF(currency_calculation=1,SUMIF(Summary_Services!$E$6:$E$105,$B32,Summary_Services!Z$6:Z$105),IF(currency_calculation=2,SUMIF(Summary_Services!$E$6:$E$105,$B32,Summary_Services!Z$6:Z$105)*exchange_rate,IF(currency_calculation=3,SUMIF(Summary_Services!$E$6:$E$105,$B32,Summary_Services!Z$6:Z$105)/exchange_rate)))</f>
        <v>0</v>
      </c>
      <c r="E32" s="938" t="b">
        <f>IF(currency_calculation=1,SUMIF(Summary_Services!$E$6:$E$105,$B32,Summary_Services!AA$6:AA$105),IF(currency_calculation=2,SUMIF(Summary_Services!$E$6:$E$105,$B32,Summary_Services!AA$6:AA$105)*exchange_rate,IF(currency_calculation=3,SUMIF(Summary_Services!$E$6:$E$105,$B32,Summary_Services!AA$6:AA$105)/exchange_rate)))</f>
        <v>0</v>
      </c>
      <c r="F32" s="938" t="b">
        <f>IF(currency_calculation=1,SUMIF(Summary_Services!$E$6:$E$105,$B32,Summary_Services!AB$6:AB$105),IF(currency_calculation=2,SUMIF(Summary_Services!$E$6:$E$105,$B32,Summary_Services!AB$6:AB$105)*exchange_rate,IF(currency_calculation=3,SUMIF(Summary_Services!$E$6:$E$105,$B32,Summary_Services!AB$6:AB$105)/exchange_rate)))</f>
        <v>0</v>
      </c>
      <c r="G32" s="938" t="b">
        <f>IF(currency_calculation=1,SUMIF(Summary_Services!$E$6:$E$105,$B32,Summary_Services!AC$6:AC$105),IF(currency_calculation=2,SUMIF(Summary_Services!$E$6:$E$105,$B32,Summary_Services!AC$6:AC$105)*exchange_rate,IF(currency_calculation=3,SUMIF(Summary_Services!$E$6:$E$105,$B32,Summary_Services!AC$6:AC$105)/exchange_rate)))</f>
        <v>0</v>
      </c>
      <c r="H32" s="1021" t="b">
        <f>IF(currency_calculation=1,SUMIF(Summary_Services!$E$6:$E$105,$B32,Summary_Services!AD$6:AD$105),IF(currency_calculation=2,SUMIF(Summary_Services!$E$6:$E$105,$B32,Summary_Services!AD$6:AD$105)*exchange_rate,IF(currency_calculation=3,SUMIF(Summary_Services!$E$6:$E$105,$B32,Summary_Services!AD$6:AD$105)/exchange_rate)))</f>
        <v>0</v>
      </c>
    </row>
    <row r="33" spans="2:8" ht="15" thickBot="1">
      <c r="B33" s="515" t="s">
        <v>1345</v>
      </c>
      <c r="C33" s="1019">
        <f>SUM(C27:C32)</f>
        <v>0</v>
      </c>
      <c r="D33" s="1019">
        <f t="shared" ref="D33:H33" si="1">SUM(D27:D32)</f>
        <v>0</v>
      </c>
      <c r="E33" s="1019">
        <f t="shared" si="1"/>
        <v>0</v>
      </c>
      <c r="F33" s="1019">
        <f t="shared" si="1"/>
        <v>0</v>
      </c>
      <c r="G33" s="1019">
        <f t="shared" si="1"/>
        <v>0</v>
      </c>
      <c r="H33" s="1020">
        <f t="shared" si="1"/>
        <v>0</v>
      </c>
    </row>
    <row r="34" spans="2:8">
      <c r="C34" s="495"/>
      <c r="D34" s="495"/>
      <c r="E34" s="495"/>
      <c r="F34" s="495"/>
      <c r="G34" s="495"/>
      <c r="H34" s="495"/>
    </row>
    <row r="35" spans="2:8">
      <c r="C35" s="495"/>
      <c r="D35" s="495"/>
      <c r="E35" s="495"/>
      <c r="F35" s="495"/>
      <c r="G35" s="495"/>
      <c r="H35" s="495"/>
    </row>
    <row r="36" spans="2:8">
      <c r="B36" s="632" t="str">
        <f>"Cost by cost category ("&amp;currency_results&amp;")"</f>
        <v>Cost by cost category (ZAR)</v>
      </c>
      <c r="C36" s="1017"/>
      <c r="D36" s="1017"/>
      <c r="E36" s="1017"/>
      <c r="F36" s="1017"/>
      <c r="G36" s="1017"/>
      <c r="H36" s="1018"/>
    </row>
    <row r="37" spans="2:8">
      <c r="B37" s="8" t="str">
        <f>Cost_by_Input!A9</f>
        <v xml:space="preserve">Staff costs </v>
      </c>
      <c r="C37" s="938" t="b">
        <f>IF(currency_calculation=1,Cost_by_Input!B9,IF(currency_calculation=2,Cost_by_Input!B9*exchange_rate,IF(currency_calculation=3,Cost_by_Input!B9/exchange_rate)))</f>
        <v>0</v>
      </c>
      <c r="D37" s="938" t="b">
        <f>IF(currency_calculation=1,Cost_by_Input!C9,IF(currency_calculation=2,Cost_by_Input!C9*exchange_rate,IF(currency_calculation=3,Cost_by_Input!C9/exchange_rate)))</f>
        <v>0</v>
      </c>
      <c r="E37" s="938" t="b">
        <f>IF(currency_calculation=1,Cost_by_Input!D9,IF(currency_calculation=2,Cost_by_Input!D9*exchange_rate,IF(currency_calculation=3,Cost_by_Input!D9/exchange_rate)))</f>
        <v>0</v>
      </c>
      <c r="F37" s="938" t="b">
        <f>IF(currency_calculation=1,Cost_by_Input!E9,IF(currency_calculation=2,Cost_by_Input!E9*exchange_rate,IF(currency_calculation=3,Cost_by_Input!E9/exchange_rate)))</f>
        <v>0</v>
      </c>
      <c r="G37" s="938" t="b">
        <f>IF(currency_calculation=1,Cost_by_Input!F9,IF(currency_calculation=2,Cost_by_Input!F9*exchange_rate,IF(currency_calculation=3,Cost_by_Input!F9/exchange_rate)))</f>
        <v>0</v>
      </c>
      <c r="H37" s="939" t="b">
        <f>IF(currency_calculation=1,Cost_by_Input!G9,IF(currency_calculation=2,Cost_by_Input!G9*exchange_rate,IF(currency_calculation=3,Cost_by_Input!G9/exchange_rate)))</f>
        <v>0</v>
      </c>
    </row>
    <row r="38" spans="2:8">
      <c r="B38" s="8" t="str">
        <f>Cost_by_Input!A10</f>
        <v xml:space="preserve">Assistive Products and Supplies </v>
      </c>
      <c r="C38" s="938" t="b">
        <f>IF(currency_calculation=1,Cost_by_Input!B10,IF(currency_calculation=2,Cost_by_Input!B10*exchange_rate,IF(currency_calculation=3,Cost_by_Input!B10/exchange_rate)))</f>
        <v>0</v>
      </c>
      <c r="D38" s="938" t="b">
        <f>IF(currency_calculation=1,Cost_by_Input!C10,IF(currency_calculation=2,Cost_by_Input!C10*exchange_rate,IF(currency_calculation=3,Cost_by_Input!C10/exchange_rate)))</f>
        <v>0</v>
      </c>
      <c r="E38" s="938" t="b">
        <f>IF(currency_calculation=1,Cost_by_Input!D10,IF(currency_calculation=2,Cost_by_Input!D10*exchange_rate,IF(currency_calculation=3,Cost_by_Input!D10/exchange_rate)))</f>
        <v>0</v>
      </c>
      <c r="F38" s="938" t="b">
        <f>IF(currency_calculation=1,Cost_by_Input!E10,IF(currency_calculation=2,Cost_by_Input!E10*exchange_rate,IF(currency_calculation=3,Cost_by_Input!E10/exchange_rate)))</f>
        <v>0</v>
      </c>
      <c r="G38" s="938" t="b">
        <f>IF(currency_calculation=1,Cost_by_Input!F10,IF(currency_calculation=2,Cost_by_Input!F10*exchange_rate,IF(currency_calculation=3,Cost_by_Input!F10/exchange_rate)))</f>
        <v>0</v>
      </c>
      <c r="H38" s="939" t="b">
        <f>IF(currency_calculation=1,Cost_by_Input!G10,IF(currency_calculation=2,Cost_by_Input!G10*exchange_rate,IF(currency_calculation=3,Cost_by_Input!G10/exchange_rate)))</f>
        <v>0</v>
      </c>
    </row>
    <row r="39" spans="2:8">
      <c r="B39" s="8" t="str">
        <f>Cost_by_Input!A11</f>
        <v xml:space="preserve">Training Costs </v>
      </c>
      <c r="C39" s="938" t="b">
        <f>IF(currency_calculation=1,Cost_by_Input!B11,IF(currency_calculation=2,Cost_by_Input!B11*exchange_rate,IF(currency_calculation=3,Cost_by_Input!B11/exchange_rate)))</f>
        <v>0</v>
      </c>
      <c r="D39" s="938" t="b">
        <f>IF(currency_calculation=1,Cost_by_Input!C11,IF(currency_calculation=2,Cost_by_Input!C11*exchange_rate,IF(currency_calculation=3,Cost_by_Input!C11/exchange_rate)))</f>
        <v>0</v>
      </c>
      <c r="E39" s="938" t="b">
        <f>IF(currency_calculation=1,Cost_by_Input!D11,IF(currency_calculation=2,Cost_by_Input!D11*exchange_rate,IF(currency_calculation=3,Cost_by_Input!D11/exchange_rate)))</f>
        <v>0</v>
      </c>
      <c r="F39" s="938" t="b">
        <f>IF(currency_calculation=1,Cost_by_Input!E11,IF(currency_calculation=2,Cost_by_Input!E11*exchange_rate,IF(currency_calculation=3,Cost_by_Input!E11/exchange_rate)))</f>
        <v>0</v>
      </c>
      <c r="G39" s="938" t="b">
        <f>IF(currency_calculation=1,Cost_by_Input!F11,IF(currency_calculation=2,Cost_by_Input!F11*exchange_rate,IF(currency_calculation=3,Cost_by_Input!F11/exchange_rate)))</f>
        <v>0</v>
      </c>
      <c r="H39" s="939" t="b">
        <f>IF(currency_calculation=1,Cost_by_Input!G11,IF(currency_calculation=2,Cost_by_Input!G11*exchange_rate,IF(currency_calculation=3,Cost_by_Input!G11/exchange_rate)))</f>
        <v>0</v>
      </c>
    </row>
    <row r="40" spans="2:8">
      <c r="B40" s="8" t="str">
        <f>Cost_by_Input!A12</f>
        <v>Equipment</v>
      </c>
      <c r="C40" s="938" t="b">
        <f>IF(currency_calculation=1,Cost_by_Input!B12,IF(currency_calculation=2,Cost_by_Input!B12*exchange_rate,IF(currency_calculation=3,Cost_by_Input!B12/exchange_rate)))</f>
        <v>0</v>
      </c>
      <c r="D40" s="938" t="b">
        <f>IF(currency_calculation=1,Cost_by_Input!C12,IF(currency_calculation=2,Cost_by_Input!C12*exchange_rate,IF(currency_calculation=3,Cost_by_Input!C12/exchange_rate)))</f>
        <v>0</v>
      </c>
      <c r="E40" s="938" t="b">
        <f>IF(currency_calculation=1,Cost_by_Input!D12,IF(currency_calculation=2,Cost_by_Input!D12*exchange_rate,IF(currency_calculation=3,Cost_by_Input!D12/exchange_rate)))</f>
        <v>0</v>
      </c>
      <c r="F40" s="938" t="b">
        <f>IF(currency_calculation=1,Cost_by_Input!E12,IF(currency_calculation=2,Cost_by_Input!E12*exchange_rate,IF(currency_calculation=3,Cost_by_Input!E12/exchange_rate)))</f>
        <v>0</v>
      </c>
      <c r="G40" s="938" t="b">
        <f>IF(currency_calculation=1,Cost_by_Input!F12,IF(currency_calculation=2,Cost_by_Input!F12*exchange_rate,IF(currency_calculation=3,Cost_by_Input!F12/exchange_rate)))</f>
        <v>0</v>
      </c>
      <c r="H40" s="939" t="b">
        <f>IF(currency_calculation=1,Cost_by_Input!G12,IF(currency_calculation=2,Cost_by_Input!G12*exchange_rate,IF(currency_calculation=3,Cost_by_Input!G12/exchange_rate)))</f>
        <v>0</v>
      </c>
    </row>
    <row r="41" spans="2:8">
      <c r="B41" s="8" t="str">
        <f>Cost_by_Input!A13</f>
        <v>Other Recurrent Costs</v>
      </c>
      <c r="C41" s="938" t="b">
        <f>IF(currency_calculation=1,Cost_by_Input!B13,IF(currency_calculation=2,Cost_by_Input!B13*exchange_rate,IF(currency_calculation=3,Cost_by_Input!B13/exchange_rate)))</f>
        <v>0</v>
      </c>
      <c r="D41" s="938" t="b">
        <f>IF(currency_calculation=1,Cost_by_Input!C13,IF(currency_calculation=2,Cost_by_Input!C13*exchange_rate,IF(currency_calculation=3,Cost_by_Input!C13/exchange_rate)))</f>
        <v>0</v>
      </c>
      <c r="E41" s="938" t="b">
        <f>IF(currency_calculation=1,Cost_by_Input!D13,IF(currency_calculation=2,Cost_by_Input!D13*exchange_rate,IF(currency_calculation=3,Cost_by_Input!D13/exchange_rate)))</f>
        <v>0</v>
      </c>
      <c r="F41" s="938" t="b">
        <f>IF(currency_calculation=1,Cost_by_Input!E13,IF(currency_calculation=2,Cost_by_Input!E13*exchange_rate,IF(currency_calculation=3,Cost_by_Input!E13/exchange_rate)))</f>
        <v>0</v>
      </c>
      <c r="G41" s="938" t="b">
        <f>IF(currency_calculation=1,Cost_by_Input!F13,IF(currency_calculation=2,Cost_by_Input!F13*exchange_rate,IF(currency_calculation=3,Cost_by_Input!F13/exchange_rate)))</f>
        <v>0</v>
      </c>
      <c r="H41" s="939" t="b">
        <f>IF(currency_calculation=1,Cost_by_Input!G13,IF(currency_calculation=2,Cost_by_Input!G13*exchange_rate,IF(currency_calculation=3,Cost_by_Input!G13/exchange_rate)))</f>
        <v>0</v>
      </c>
    </row>
    <row r="42" spans="2:8">
      <c r="B42" s="8" t="str">
        <f>Cost_by_Input!A14</f>
        <v>Start-up Costs</v>
      </c>
      <c r="C42" s="938" t="b">
        <f>IF(currency_calculation=1,Cost_by_Input!B14,IF(currency_calculation=2,Cost_by_Input!B14*exchange_rate,IF(currency_calculation=3,Cost_by_Input!B14/exchange_rate)))</f>
        <v>0</v>
      </c>
      <c r="D42" s="938" t="b">
        <f>IF(currency_calculation=1,Cost_by_Input!C14,IF(currency_calculation=2,Cost_by_Input!C14*exchange_rate,IF(currency_calculation=3,Cost_by_Input!C14/exchange_rate)))</f>
        <v>0</v>
      </c>
      <c r="E42" s="938" t="b">
        <f>IF(currency_calculation=1,Cost_by_Input!D14,IF(currency_calculation=2,Cost_by_Input!D14*exchange_rate,IF(currency_calculation=3,Cost_by_Input!D14/exchange_rate)))</f>
        <v>0</v>
      </c>
      <c r="F42" s="938" t="b">
        <f>IF(currency_calculation=1,Cost_by_Input!E14,IF(currency_calculation=2,Cost_by_Input!E14*exchange_rate,IF(currency_calculation=3,Cost_by_Input!E14/exchange_rate)))</f>
        <v>0</v>
      </c>
      <c r="G42" s="938" t="b">
        <f>IF(currency_calculation=1,Cost_by_Input!F14,IF(currency_calculation=2,Cost_by_Input!F14*exchange_rate,IF(currency_calculation=3,Cost_by_Input!F14/exchange_rate)))</f>
        <v>0</v>
      </c>
      <c r="H42" s="939" t="b">
        <f>IF(currency_calculation=1,Cost_by_Input!G14,IF(currency_calculation=2,Cost_by_Input!G14*exchange_rate,IF(currency_calculation=3,Cost_by_Input!G14/exchange_rate)))</f>
        <v>0</v>
      </c>
    </row>
    <row r="43" spans="2:8" ht="15" thickBot="1">
      <c r="B43" s="8" t="str">
        <f>Cost_by_Input!A15</f>
        <v>Capital Costs</v>
      </c>
      <c r="C43" s="938" t="b">
        <f>IF(currency_calculation=1,Cost_by_Input!B15,IF(currency_calculation=2,Cost_by_Input!B15*exchange_rate,IF(currency_calculation=3,Cost_by_Input!B15/exchange_rate)))</f>
        <v>0</v>
      </c>
      <c r="D43" s="938" t="b">
        <f>IF(currency_calculation=1,Cost_by_Input!C15,IF(currency_calculation=2,Cost_by_Input!C15*exchange_rate,IF(currency_calculation=3,Cost_by_Input!C15/exchange_rate)))</f>
        <v>0</v>
      </c>
      <c r="E43" s="938" t="b">
        <f>IF(currency_calculation=1,Cost_by_Input!D15,IF(currency_calculation=2,Cost_by_Input!D15*exchange_rate,IF(currency_calculation=3,Cost_by_Input!D15/exchange_rate)))</f>
        <v>0</v>
      </c>
      <c r="F43" s="938" t="b">
        <f>IF(currency_calculation=1,Cost_by_Input!E15,IF(currency_calculation=2,Cost_by_Input!E15*exchange_rate,IF(currency_calculation=3,Cost_by_Input!E15/exchange_rate)))</f>
        <v>0</v>
      </c>
      <c r="G43" s="938" t="b">
        <f>IF(currency_calculation=1,Cost_by_Input!F15,IF(currency_calculation=2,Cost_by_Input!F15*exchange_rate,IF(currency_calculation=3,Cost_by_Input!F15/exchange_rate)))</f>
        <v>0</v>
      </c>
      <c r="H43" s="939" t="b">
        <f>IF(currency_calculation=1,Cost_by_Input!G15,IF(currency_calculation=2,Cost_by_Input!G15*exchange_rate,IF(currency_calculation=3,Cost_by_Input!G15/exchange_rate)))</f>
        <v>0</v>
      </c>
    </row>
    <row r="44" spans="2:8" ht="15" thickBot="1">
      <c r="B44" s="515" t="s">
        <v>1345</v>
      </c>
      <c r="C44" s="1019">
        <f t="shared" ref="C44:H44" si="2">SUM(C37:C43)</f>
        <v>0</v>
      </c>
      <c r="D44" s="1019">
        <f t="shared" si="2"/>
        <v>0</v>
      </c>
      <c r="E44" s="1019">
        <f t="shared" si="2"/>
        <v>0</v>
      </c>
      <c r="F44" s="1019">
        <f t="shared" si="2"/>
        <v>0</v>
      </c>
      <c r="G44" s="1019">
        <f t="shared" si="2"/>
        <v>0</v>
      </c>
      <c r="H44" s="1020">
        <f t="shared" si="2"/>
        <v>0</v>
      </c>
    </row>
    <row r="45" spans="2:8">
      <c r="B45" s="4"/>
      <c r="C45" s="495"/>
      <c r="D45" s="495"/>
      <c r="E45" s="495"/>
      <c r="F45" s="495"/>
      <c r="G45" s="495"/>
      <c r="H45" s="495"/>
    </row>
    <row r="46" spans="2:8">
      <c r="B46" s="632" t="str">
        <f>"Program Cost ("&amp;currency_results&amp;")"</f>
        <v>Program Cost (ZAR)</v>
      </c>
      <c r="C46" s="1017"/>
      <c r="D46" s="1017"/>
      <c r="E46" s="1017"/>
      <c r="F46" s="1017"/>
      <c r="G46" s="1017"/>
      <c r="H46" s="1018"/>
    </row>
    <row r="47" spans="2:8">
      <c r="B47" s="986" t="s">
        <v>1427</v>
      </c>
      <c r="C47" s="938" t="b">
        <f>IF(currency_calculation=1,Cost_by_Input!B21,IF(currency_calculation=2,Cost_by_Input!B21*exchange_rate,IF(currency_calculation=3,Cost_by_Input!B21/exchange_rate)))</f>
        <v>0</v>
      </c>
      <c r="D47" s="938" t="b">
        <f>IF(currency_calculation=1,Cost_by_Input!C21,IF(currency_calculation=2,Cost_by_Input!C21*exchange_rate,IF(currency_calculation=3,Cost_by_Input!C21/exchange_rate)))</f>
        <v>0</v>
      </c>
      <c r="E47" s="938" t="b">
        <f>IF(currency_calculation=1,Cost_by_Input!D21,IF(currency_calculation=2,Cost_by_Input!D21*exchange_rate,IF(currency_calculation=3,Cost_by_Input!D21/exchange_rate)))</f>
        <v>0</v>
      </c>
      <c r="F47" s="938" t="b">
        <f>IF(currency_calculation=1,Cost_by_Input!E21,IF(currency_calculation=2,Cost_by_Input!E21*exchange_rate,IF(currency_calculation=3,Cost_by_Input!E21/exchange_rate)))</f>
        <v>0</v>
      </c>
      <c r="G47" s="938" t="b">
        <f>IF(currency_calculation=1,Cost_by_Input!F21,IF(currency_calculation=2,Cost_by_Input!F21*exchange_rate,IF(currency_calculation=3,Cost_by_Input!F21/exchange_rate)))</f>
        <v>0</v>
      </c>
      <c r="H47" s="939" t="b">
        <f>IF(currency_calculation=1,Cost_by_Input!G21,IF(currency_calculation=2,Cost_by_Input!G21*exchange_rate,IF(currency_calculation=3,Cost_by_Input!G21/exchange_rate)))</f>
        <v>0</v>
      </c>
    </row>
    <row r="48" spans="2:8">
      <c r="B48" s="986" t="s">
        <v>1428</v>
      </c>
      <c r="C48" s="938">
        <f>+SUM(C37:C41)</f>
        <v>0</v>
      </c>
      <c r="D48" s="938">
        <f t="shared" ref="D48:H48" si="3">+SUM(D37:D41)</f>
        <v>0</v>
      </c>
      <c r="E48" s="938">
        <f t="shared" si="3"/>
        <v>0</v>
      </c>
      <c r="F48" s="938">
        <f t="shared" si="3"/>
        <v>0</v>
      </c>
      <c r="G48" s="938">
        <f t="shared" si="3"/>
        <v>0</v>
      </c>
      <c r="H48" s="939">
        <f t="shared" si="3"/>
        <v>0</v>
      </c>
    </row>
    <row r="49" spans="2:8">
      <c r="B49" s="987" t="s">
        <v>1429</v>
      </c>
      <c r="C49" s="941">
        <f>+SUM(C42:C43)</f>
        <v>0</v>
      </c>
      <c r="D49" s="941">
        <f t="shared" ref="D49:H49" si="4">+SUM(D42:D43)</f>
        <v>0</v>
      </c>
      <c r="E49" s="941">
        <f t="shared" si="4"/>
        <v>0</v>
      </c>
      <c r="F49" s="941">
        <f t="shared" si="4"/>
        <v>0</v>
      </c>
      <c r="G49" s="941">
        <f t="shared" si="4"/>
        <v>0</v>
      </c>
      <c r="H49" s="942">
        <f t="shared" si="4"/>
        <v>0</v>
      </c>
    </row>
    <row r="50" spans="2:8">
      <c r="C50" s="495"/>
      <c r="D50" s="495"/>
      <c r="E50" s="495"/>
      <c r="F50" s="495"/>
      <c r="G50" s="495"/>
      <c r="H50" s="495"/>
    </row>
    <row r="51" spans="2:8">
      <c r="B51" s="632" t="str">
        <f>"Cost per Capita ("&amp;currency_results&amp;")"</f>
        <v>Cost per Capita (ZAR)</v>
      </c>
      <c r="C51" s="1017"/>
      <c r="D51" s="1017"/>
      <c r="E51" s="1017"/>
      <c r="F51" s="1017"/>
      <c r="G51" s="1017"/>
      <c r="H51" s="1018"/>
    </row>
    <row r="52" spans="2:8">
      <c r="B52" s="986" t="s">
        <v>1430</v>
      </c>
      <c r="C52" s="938">
        <f t="shared" ref="C52:H52" si="5">IF(C10=0,0,C47/C10)</f>
        <v>0</v>
      </c>
      <c r="D52" s="938">
        <f t="shared" si="5"/>
        <v>0</v>
      </c>
      <c r="E52" s="938">
        <f t="shared" si="5"/>
        <v>0</v>
      </c>
      <c r="F52" s="938">
        <f t="shared" si="5"/>
        <v>0</v>
      </c>
      <c r="G52" s="938">
        <f t="shared" si="5"/>
        <v>0</v>
      </c>
      <c r="H52" s="939">
        <f t="shared" si="5"/>
        <v>0</v>
      </c>
    </row>
    <row r="53" spans="2:8">
      <c r="B53" s="987" t="s">
        <v>1431</v>
      </c>
      <c r="C53" s="941">
        <f t="shared" ref="C53:H53" si="6">IF(C10=0,0,C48/C10)</f>
        <v>0</v>
      </c>
      <c r="D53" s="941">
        <f t="shared" si="6"/>
        <v>0</v>
      </c>
      <c r="E53" s="941">
        <f t="shared" si="6"/>
        <v>0</v>
      </c>
      <c r="F53" s="941">
        <f t="shared" si="6"/>
        <v>0</v>
      </c>
      <c r="G53" s="941">
        <f t="shared" si="6"/>
        <v>0</v>
      </c>
      <c r="H53" s="942">
        <f t="shared" si="6"/>
        <v>0</v>
      </c>
    </row>
    <row r="54" spans="2:8">
      <c r="B54" s="988" t="s">
        <v>1432</v>
      </c>
      <c r="C54" s="935">
        <f t="shared" ref="C54:H54" si="7">IF(C11=0,0,C47/C11)</f>
        <v>0</v>
      </c>
      <c r="D54" s="935">
        <f t="shared" si="7"/>
        <v>0</v>
      </c>
      <c r="E54" s="935">
        <f t="shared" si="7"/>
        <v>0</v>
      </c>
      <c r="F54" s="935">
        <f t="shared" si="7"/>
        <v>0</v>
      </c>
      <c r="G54" s="935">
        <f t="shared" si="7"/>
        <v>0</v>
      </c>
      <c r="H54" s="936">
        <f t="shared" si="7"/>
        <v>0</v>
      </c>
    </row>
    <row r="55" spans="2:8">
      <c r="B55" s="987" t="s">
        <v>1433</v>
      </c>
      <c r="C55" s="941">
        <f t="shared" ref="C55:H55" si="8">IF(C11=0,0,C48/C11)</f>
        <v>0</v>
      </c>
      <c r="D55" s="941">
        <f t="shared" si="8"/>
        <v>0</v>
      </c>
      <c r="E55" s="941">
        <f t="shared" si="8"/>
        <v>0</v>
      </c>
      <c r="F55" s="941">
        <f t="shared" si="8"/>
        <v>0</v>
      </c>
      <c r="G55" s="941">
        <f t="shared" si="8"/>
        <v>0</v>
      </c>
      <c r="H55" s="942">
        <f t="shared" si="8"/>
        <v>0</v>
      </c>
    </row>
    <row r="56" spans="2:8">
      <c r="C56" s="495"/>
      <c r="D56" s="495"/>
      <c r="E56" s="495"/>
      <c r="F56" s="495"/>
      <c r="G56" s="495"/>
      <c r="H56" s="495"/>
    </row>
    <row r="57" spans="2:8">
      <c r="B57" s="632" t="str">
        <f>"Cost per HCW ("&amp;currency_results&amp;")"</f>
        <v>Cost per HCW (ZAR)</v>
      </c>
      <c r="C57" s="1017"/>
      <c r="D57" s="1017"/>
      <c r="E57" s="1017"/>
      <c r="F57" s="1017"/>
      <c r="G57" s="1017"/>
      <c r="H57" s="1018"/>
    </row>
    <row r="58" spans="2:8">
      <c r="B58" s="8" t="str">
        <f>"Cost per HCW (Total Cost / Total HCWs)"</f>
        <v>Cost per HCW (Total Cost / Total HCWs)</v>
      </c>
      <c r="C58" s="938">
        <f t="shared" ref="C58:H58" si="9">IF(C23=0,0,C47/C23)</f>
        <v>0</v>
      </c>
      <c r="D58" s="938">
        <f t="shared" si="9"/>
        <v>0</v>
      </c>
      <c r="E58" s="938">
        <f t="shared" si="9"/>
        <v>0</v>
      </c>
      <c r="F58" s="938">
        <f t="shared" si="9"/>
        <v>0</v>
      </c>
      <c r="G58" s="938">
        <f t="shared" si="9"/>
        <v>0</v>
      </c>
      <c r="H58" s="939">
        <f t="shared" si="9"/>
        <v>0</v>
      </c>
    </row>
    <row r="59" spans="2:8">
      <c r="B59" s="720" t="s">
        <v>1480</v>
      </c>
      <c r="C59" s="938">
        <f t="shared" ref="C59:H59" si="10">IF(C23=0,0,C48/C23)</f>
        <v>0</v>
      </c>
      <c r="D59" s="938">
        <f t="shared" si="10"/>
        <v>0</v>
      </c>
      <c r="E59" s="938">
        <f t="shared" si="10"/>
        <v>0</v>
      </c>
      <c r="F59" s="938">
        <f t="shared" si="10"/>
        <v>0</v>
      </c>
      <c r="G59" s="938">
        <f t="shared" si="10"/>
        <v>0</v>
      </c>
      <c r="H59" s="939">
        <f t="shared" si="10"/>
        <v>0</v>
      </c>
    </row>
    <row r="60" spans="2:8">
      <c r="B60" s="9" t="str">
        <f>"Training cost per AHW"</f>
        <v>Training cost per AHW</v>
      </c>
      <c r="C60" s="941">
        <f>IF(C23=0,0,C41/C23)</f>
        <v>0</v>
      </c>
      <c r="D60" s="941">
        <f>IF(D24=0,0,D49/D24)</f>
        <v>0</v>
      </c>
      <c r="E60" s="941">
        <f>IF(E24=0,0,E49/E24)</f>
        <v>0</v>
      </c>
      <c r="F60" s="941">
        <f>IF(F24=0,0,F49/F24)</f>
        <v>0</v>
      </c>
      <c r="G60" s="941">
        <f>IF(G24=0,0,G49/G24)</f>
        <v>0</v>
      </c>
      <c r="H60" s="942">
        <f>IF(H24=0,0,H49/H24)</f>
        <v>0</v>
      </c>
    </row>
    <row r="61" spans="2:8">
      <c r="C61" s="495"/>
      <c r="D61" s="495"/>
      <c r="E61" s="495"/>
      <c r="F61" s="495"/>
      <c r="G61" s="495"/>
      <c r="H61" s="495"/>
    </row>
    <row r="62" spans="2:8">
      <c r="C62" s="495"/>
      <c r="D62" s="495"/>
      <c r="E62" s="495"/>
      <c r="F62" s="495"/>
      <c r="G62" s="495"/>
      <c r="H62" s="495"/>
    </row>
    <row r="63" spans="2:8">
      <c r="B63" s="632" t="str">
        <f>"Total Funding Available and Gap ("&amp;currency_results&amp;")"</f>
        <v>Total Funding Available and Gap (ZAR)</v>
      </c>
      <c r="C63" s="1017"/>
      <c r="D63" s="1017"/>
      <c r="E63" s="1017"/>
      <c r="F63" s="1017"/>
      <c r="G63" s="1017"/>
      <c r="H63" s="1018"/>
    </row>
    <row r="64" spans="2:8">
      <c r="B64" s="8" t="str">
        <f>Cost_by_Input!A9</f>
        <v xml:space="preserve">Staff costs </v>
      </c>
      <c r="C64" s="938" t="b">
        <f>IF(currency_calculation=1,Cost_by_Input!J9,IF(currency_calculation=2,Cost_by_Input!J9*exchange_rate,IF(currency_calculation=3,Cost_by_Input!J9/exchange_rate)))</f>
        <v>0</v>
      </c>
      <c r="D64" s="938" t="b">
        <f>IF(currency_calculation=1,Cost_by_Input!K9,IF(currency_calculation=2,Cost_by_Input!K9*exchange_rate,IF(currency_calculation=3,Cost_by_Input!K9/exchange_rate)))</f>
        <v>0</v>
      </c>
      <c r="E64" s="938" t="b">
        <f>IF(currency_calculation=1,Cost_by_Input!L9,IF(currency_calculation=2,Cost_by_Input!L9*exchange_rate,IF(currency_calculation=3,Cost_by_Input!L9/exchange_rate)))</f>
        <v>0</v>
      </c>
      <c r="F64" s="938" t="b">
        <f>IF(currency_calculation=1,Cost_by_Input!M9,IF(currency_calculation=2,Cost_by_Input!M9*exchange_rate,IF(currency_calculation=3,Cost_by_Input!M9/exchange_rate)))</f>
        <v>0</v>
      </c>
      <c r="G64" s="938" t="b">
        <f>IF(currency_calculation=1,Cost_by_Input!N9,IF(currency_calculation=2,Cost_by_Input!N9*exchange_rate,IF(currency_calculation=3,Cost_by_Input!N9/exchange_rate)))</f>
        <v>0</v>
      </c>
      <c r="H64" s="939" t="b">
        <f>IF(currency_calculation=1,Cost_by_Input!O9,IF(currency_calculation=2,Cost_by_Input!O9*exchange_rate,IF(currency_calculation=3,Cost_by_Input!O9/exchange_rate)))</f>
        <v>0</v>
      </c>
    </row>
    <row r="65" spans="2:8">
      <c r="B65" s="8" t="str">
        <f>Cost_by_Input!A10</f>
        <v xml:space="preserve">Assistive Products and Supplies </v>
      </c>
      <c r="C65" s="938" t="b">
        <f>IF(currency_calculation=1,Cost_by_Input!J10,IF(currency_calculation=2,Cost_by_Input!J10*exchange_rate,IF(currency_calculation=3,Cost_by_Input!J10/exchange_rate)))</f>
        <v>0</v>
      </c>
      <c r="D65" s="938" t="b">
        <f>IF(currency_calculation=1,Cost_by_Input!K10,IF(currency_calculation=2,Cost_by_Input!K10*exchange_rate,IF(currency_calculation=3,Cost_by_Input!K10/exchange_rate)))</f>
        <v>0</v>
      </c>
      <c r="E65" s="938" t="b">
        <f>IF(currency_calculation=1,Cost_by_Input!L10,IF(currency_calculation=2,Cost_by_Input!L10*exchange_rate,IF(currency_calculation=3,Cost_by_Input!L10/exchange_rate)))</f>
        <v>0</v>
      </c>
      <c r="F65" s="938" t="b">
        <f>IF(currency_calculation=1,Cost_by_Input!M10,IF(currency_calculation=2,Cost_by_Input!M10*exchange_rate,IF(currency_calculation=3,Cost_by_Input!M10/exchange_rate)))</f>
        <v>0</v>
      </c>
      <c r="G65" s="938" t="b">
        <f>IF(currency_calculation=1,Cost_by_Input!N10,IF(currency_calculation=2,Cost_by_Input!N10*exchange_rate,IF(currency_calculation=3,Cost_by_Input!N10/exchange_rate)))</f>
        <v>0</v>
      </c>
      <c r="H65" s="939" t="b">
        <f>IF(currency_calculation=1,Cost_by_Input!O10,IF(currency_calculation=2,Cost_by_Input!O10*exchange_rate,IF(currency_calculation=3,Cost_by_Input!O10/exchange_rate)))</f>
        <v>0</v>
      </c>
    </row>
    <row r="66" spans="2:8">
      <c r="B66" s="8" t="str">
        <f>Cost_by_Input!A11</f>
        <v xml:space="preserve">Training Costs </v>
      </c>
      <c r="C66" s="938" t="b">
        <f>IF(currency_calculation=1,Cost_by_Input!J11,IF(currency_calculation=2,Cost_by_Input!J11*exchange_rate,IF(currency_calculation=3,Cost_by_Input!J11/exchange_rate)))</f>
        <v>0</v>
      </c>
      <c r="D66" s="938" t="b">
        <f>IF(currency_calculation=1,Cost_by_Input!K11,IF(currency_calculation=2,Cost_by_Input!K11*exchange_rate,IF(currency_calculation=3,Cost_by_Input!K11/exchange_rate)))</f>
        <v>0</v>
      </c>
      <c r="E66" s="938" t="b">
        <f>IF(currency_calculation=1,Cost_by_Input!L11,IF(currency_calculation=2,Cost_by_Input!L11*exchange_rate,IF(currency_calculation=3,Cost_by_Input!L11/exchange_rate)))</f>
        <v>0</v>
      </c>
      <c r="F66" s="938" t="b">
        <f>IF(currency_calculation=1,Cost_by_Input!M11,IF(currency_calculation=2,Cost_by_Input!M11*exchange_rate,IF(currency_calculation=3,Cost_by_Input!M11/exchange_rate)))</f>
        <v>0</v>
      </c>
      <c r="G66" s="938" t="b">
        <f>IF(currency_calculation=1,Cost_by_Input!N11,IF(currency_calculation=2,Cost_by_Input!N11*exchange_rate,IF(currency_calculation=3,Cost_by_Input!N11/exchange_rate)))</f>
        <v>0</v>
      </c>
      <c r="H66" s="939" t="b">
        <f>IF(currency_calculation=1,Cost_by_Input!O11,IF(currency_calculation=2,Cost_by_Input!O11*exchange_rate,IF(currency_calculation=3,Cost_by_Input!O11/exchange_rate)))</f>
        <v>0</v>
      </c>
    </row>
    <row r="67" spans="2:8">
      <c r="B67" s="8" t="str">
        <f>Cost_by_Input!A12</f>
        <v>Equipment</v>
      </c>
      <c r="C67" s="938" t="b">
        <f>IF(currency_calculation=1,Cost_by_Input!J12,IF(currency_calculation=2,Cost_by_Input!J12*exchange_rate,IF(currency_calculation=3,Cost_by_Input!J12/exchange_rate)))</f>
        <v>0</v>
      </c>
      <c r="D67" s="938" t="b">
        <f>IF(currency_calculation=1,Cost_by_Input!K12,IF(currency_calculation=2,Cost_by_Input!K12*exchange_rate,IF(currency_calculation=3,Cost_by_Input!K12/exchange_rate)))</f>
        <v>0</v>
      </c>
      <c r="E67" s="938" t="b">
        <f>IF(currency_calculation=1,Cost_by_Input!L12,IF(currency_calculation=2,Cost_by_Input!L12*exchange_rate,IF(currency_calculation=3,Cost_by_Input!L12/exchange_rate)))</f>
        <v>0</v>
      </c>
      <c r="F67" s="938" t="b">
        <f>IF(currency_calculation=1,Cost_by_Input!M12,IF(currency_calculation=2,Cost_by_Input!M12*exchange_rate,IF(currency_calculation=3,Cost_by_Input!M12/exchange_rate)))</f>
        <v>0</v>
      </c>
      <c r="G67" s="938" t="b">
        <f>IF(currency_calculation=1,Cost_by_Input!N12,IF(currency_calculation=2,Cost_by_Input!N12*exchange_rate,IF(currency_calculation=3,Cost_by_Input!N12/exchange_rate)))</f>
        <v>0</v>
      </c>
      <c r="H67" s="939" t="b">
        <f>IF(currency_calculation=1,Cost_by_Input!O12,IF(currency_calculation=2,Cost_by_Input!O12*exchange_rate,IF(currency_calculation=3,Cost_by_Input!O12/exchange_rate)))</f>
        <v>0</v>
      </c>
    </row>
    <row r="68" spans="2:8">
      <c r="B68" s="8" t="str">
        <f>Cost_by_Input!A13</f>
        <v>Other Recurrent Costs</v>
      </c>
      <c r="C68" s="938" t="b">
        <f>IF(currency_calculation=1,Cost_by_Input!J13,IF(currency_calculation=2,Cost_by_Input!J13*exchange_rate,IF(currency_calculation=3,Cost_by_Input!J13/exchange_rate)))</f>
        <v>0</v>
      </c>
      <c r="D68" s="938" t="b">
        <f>IF(currency_calculation=1,Cost_by_Input!K13,IF(currency_calculation=2,Cost_by_Input!K13*exchange_rate,IF(currency_calculation=3,Cost_by_Input!K13/exchange_rate)))</f>
        <v>0</v>
      </c>
      <c r="E68" s="938" t="b">
        <f>IF(currency_calculation=1,Cost_by_Input!L13,IF(currency_calculation=2,Cost_by_Input!L13*exchange_rate,IF(currency_calculation=3,Cost_by_Input!L13/exchange_rate)))</f>
        <v>0</v>
      </c>
      <c r="F68" s="938" t="b">
        <f>IF(currency_calculation=1,Cost_by_Input!M13,IF(currency_calculation=2,Cost_by_Input!M13*exchange_rate,IF(currency_calculation=3,Cost_by_Input!M13/exchange_rate)))</f>
        <v>0</v>
      </c>
      <c r="G68" s="938" t="b">
        <f>IF(currency_calculation=1,Cost_by_Input!N13,IF(currency_calculation=2,Cost_by_Input!N13*exchange_rate,IF(currency_calculation=3,Cost_by_Input!N13/exchange_rate)))</f>
        <v>0</v>
      </c>
      <c r="H68" s="939" t="b">
        <f>IF(currency_calculation=1,Cost_by_Input!O13,IF(currency_calculation=2,Cost_by_Input!O13*exchange_rate,IF(currency_calculation=3,Cost_by_Input!O13/exchange_rate)))</f>
        <v>0</v>
      </c>
    </row>
    <row r="69" spans="2:8">
      <c r="B69" s="8" t="str">
        <f>Cost_by_Input!A14</f>
        <v>Start-up Costs</v>
      </c>
      <c r="C69" s="938" t="b">
        <f>IF(currency_calculation=1,Cost_by_Input!J14,IF(currency_calculation=2,Cost_by_Input!J14*exchange_rate,IF(currency_calculation=3,Cost_by_Input!J14/exchange_rate)))</f>
        <v>0</v>
      </c>
      <c r="D69" s="938" t="b">
        <f>IF(currency_calculation=1,Cost_by_Input!K14,IF(currency_calculation=2,Cost_by_Input!K14*exchange_rate,IF(currency_calculation=3,Cost_by_Input!K14/exchange_rate)))</f>
        <v>0</v>
      </c>
      <c r="E69" s="938" t="b">
        <f>IF(currency_calculation=1,Cost_by_Input!L14,IF(currency_calculation=2,Cost_by_Input!L14*exchange_rate,IF(currency_calculation=3,Cost_by_Input!L14/exchange_rate)))</f>
        <v>0</v>
      </c>
      <c r="F69" s="938" t="b">
        <f>IF(currency_calculation=1,Cost_by_Input!M14,IF(currency_calculation=2,Cost_by_Input!M14*exchange_rate,IF(currency_calculation=3,Cost_by_Input!M14/exchange_rate)))</f>
        <v>0</v>
      </c>
      <c r="G69" s="938" t="b">
        <f>IF(currency_calculation=1,Cost_by_Input!N14,IF(currency_calculation=2,Cost_by_Input!N14*exchange_rate,IF(currency_calculation=3,Cost_by_Input!N14/exchange_rate)))</f>
        <v>0</v>
      </c>
      <c r="H69" s="939" t="b">
        <f>IF(currency_calculation=1,Cost_by_Input!O14,IF(currency_calculation=2,Cost_by_Input!O14*exchange_rate,IF(currency_calculation=3,Cost_by_Input!O14/exchange_rate)))</f>
        <v>0</v>
      </c>
    </row>
    <row r="70" spans="2:8">
      <c r="B70" s="8" t="str">
        <f>Cost_by_Input!A15</f>
        <v>Capital Costs</v>
      </c>
      <c r="C70" s="938" t="b">
        <f>IF(currency_calculation=1,Cost_by_Input!J15,IF(currency_calculation=2,Cost_by_Input!J15*exchange_rate,IF(currency_calculation=3,Cost_by_Input!J15/exchange_rate)))</f>
        <v>0</v>
      </c>
      <c r="D70" s="938" t="b">
        <f>IF(currency_calculation=1,Cost_by_Input!K15,IF(currency_calculation=2,Cost_by_Input!K15*exchange_rate,IF(currency_calculation=3,Cost_by_Input!K15/exchange_rate)))</f>
        <v>0</v>
      </c>
      <c r="E70" s="938" t="b">
        <f>IF(currency_calculation=1,Cost_by_Input!L15,IF(currency_calculation=2,Cost_by_Input!L15*exchange_rate,IF(currency_calculation=3,Cost_by_Input!L15/exchange_rate)))</f>
        <v>0</v>
      </c>
      <c r="F70" s="938" t="b">
        <f>IF(currency_calculation=1,Cost_by_Input!M15,IF(currency_calculation=2,Cost_by_Input!M15*exchange_rate,IF(currency_calculation=3,Cost_by_Input!M15/exchange_rate)))</f>
        <v>0</v>
      </c>
      <c r="G70" s="938" t="b">
        <f>IF(currency_calculation=1,Cost_by_Input!N15,IF(currency_calculation=2,Cost_by_Input!N15*exchange_rate,IF(currency_calculation=3,Cost_by_Input!N15/exchange_rate)))</f>
        <v>0</v>
      </c>
      <c r="H70" s="939" t="b">
        <f>IF(currency_calculation=1,Cost_by_Input!O15,IF(currency_calculation=2,Cost_by_Input!O15*exchange_rate,IF(currency_calculation=3,Cost_by_Input!O15/exchange_rate)))</f>
        <v>0</v>
      </c>
    </row>
    <row r="71" spans="2:8">
      <c r="B71" s="8">
        <f>Cost_by_Input!A16</f>
        <v>0</v>
      </c>
      <c r="C71" s="938" t="b">
        <f>IF(currency_calculation=1,Cost_by_Input!J16,IF(currency_calculation=2,Cost_by_Input!J16*exchange_rate,IF(currency_calculation=3,Cost_by_Input!J16/exchange_rate)))</f>
        <v>0</v>
      </c>
      <c r="D71" s="938" t="b">
        <f>IF(currency_calculation=1,Cost_by_Input!K16,IF(currency_calculation=2,Cost_by_Input!K16*exchange_rate,IF(currency_calculation=3,Cost_by_Input!K16/exchange_rate)))</f>
        <v>0</v>
      </c>
      <c r="E71" s="938" t="b">
        <f>IF(currency_calculation=1,Cost_by_Input!L16,IF(currency_calculation=2,Cost_by_Input!L16*exchange_rate,IF(currency_calculation=3,Cost_by_Input!L16/exchange_rate)))</f>
        <v>0</v>
      </c>
      <c r="F71" s="938" t="b">
        <f>IF(currency_calculation=1,Cost_by_Input!M16,IF(currency_calculation=2,Cost_by_Input!M16*exchange_rate,IF(currency_calculation=3,Cost_by_Input!M16/exchange_rate)))</f>
        <v>0</v>
      </c>
      <c r="G71" s="938" t="b">
        <f>IF(currency_calculation=1,Cost_by_Input!N16,IF(currency_calculation=2,Cost_by_Input!N16*exchange_rate,IF(currency_calculation=3,Cost_by_Input!N16/exchange_rate)))</f>
        <v>0</v>
      </c>
      <c r="H71" s="939" t="b">
        <f>IF(currency_calculation=1,Cost_by_Input!O16,IF(currency_calculation=2,Cost_by_Input!O16*exchange_rate,IF(currency_calculation=3,Cost_by_Input!O16/exchange_rate)))</f>
        <v>0</v>
      </c>
    </row>
    <row r="72" spans="2:8">
      <c r="B72" s="8">
        <f>Cost_by_Input!A17</f>
        <v>0</v>
      </c>
      <c r="C72" s="938" t="b">
        <f>IF(currency_calculation=1,Cost_by_Input!J17,IF(currency_calculation=2,Cost_by_Input!J17*exchange_rate,IF(currency_calculation=3,Cost_by_Input!J17/exchange_rate)))</f>
        <v>0</v>
      </c>
      <c r="D72" s="938" t="b">
        <f>IF(currency_calculation=1,Cost_by_Input!K17,IF(currency_calculation=2,Cost_by_Input!K17*exchange_rate,IF(currency_calculation=3,Cost_by_Input!K17/exchange_rate)))</f>
        <v>0</v>
      </c>
      <c r="E72" s="938" t="b">
        <f>IF(currency_calculation=1,Cost_by_Input!L17,IF(currency_calculation=2,Cost_by_Input!L17*exchange_rate,IF(currency_calculation=3,Cost_by_Input!L17/exchange_rate)))</f>
        <v>0</v>
      </c>
      <c r="F72" s="938" t="b">
        <f>IF(currency_calculation=1,Cost_by_Input!M17,IF(currency_calculation=2,Cost_by_Input!M17*exchange_rate,IF(currency_calculation=3,Cost_by_Input!M17/exchange_rate)))</f>
        <v>0</v>
      </c>
      <c r="G72" s="938" t="b">
        <f>IF(currency_calculation=1,Cost_by_Input!N17,IF(currency_calculation=2,Cost_by_Input!N17*exchange_rate,IF(currency_calculation=3,Cost_by_Input!N17/exchange_rate)))</f>
        <v>0</v>
      </c>
      <c r="H72" s="939" t="b">
        <f>IF(currency_calculation=1,Cost_by_Input!O17,IF(currency_calculation=2,Cost_by_Input!O17*exchange_rate,IF(currency_calculation=3,Cost_by_Input!O17/exchange_rate)))</f>
        <v>0</v>
      </c>
    </row>
    <row r="73" spans="2:8">
      <c r="B73" s="8">
        <f>Cost_by_Input!A18</f>
        <v>0</v>
      </c>
      <c r="C73" s="938" t="b">
        <f>IF(currency_calculation=1,Cost_by_Input!J18,IF(currency_calculation=2,Cost_by_Input!J18*exchange_rate,IF(currency_calculation=3,Cost_by_Input!J18/exchange_rate)))</f>
        <v>0</v>
      </c>
      <c r="D73" s="938" t="b">
        <f>IF(currency_calculation=1,Cost_by_Input!K18,IF(currency_calculation=2,Cost_by_Input!K18*exchange_rate,IF(currency_calculation=3,Cost_by_Input!K18/exchange_rate)))</f>
        <v>0</v>
      </c>
      <c r="E73" s="938" t="b">
        <f>IF(currency_calculation=1,Cost_by_Input!L18,IF(currency_calculation=2,Cost_by_Input!L18*exchange_rate,IF(currency_calculation=3,Cost_by_Input!L18/exchange_rate)))</f>
        <v>0</v>
      </c>
      <c r="F73" s="938" t="b">
        <f>IF(currency_calculation=1,Cost_by_Input!M18,IF(currency_calculation=2,Cost_by_Input!M18*exchange_rate,IF(currency_calculation=3,Cost_by_Input!M18/exchange_rate)))</f>
        <v>0</v>
      </c>
      <c r="G73" s="938" t="b">
        <f>IF(currency_calculation=1,Cost_by_Input!N18,IF(currency_calculation=2,Cost_by_Input!N18*exchange_rate,IF(currency_calculation=3,Cost_by_Input!N18/exchange_rate)))</f>
        <v>0</v>
      </c>
      <c r="H73" s="939" t="b">
        <f>IF(currency_calculation=1,Cost_by_Input!O18,IF(currency_calculation=2,Cost_by_Input!O18*exchange_rate,IF(currency_calculation=3,Cost_by_Input!O18/exchange_rate)))</f>
        <v>0</v>
      </c>
    </row>
    <row r="74" spans="2:8">
      <c r="B74" s="9">
        <f>Cost_by_Input!A19</f>
        <v>0</v>
      </c>
      <c r="C74" s="941" t="b">
        <f>IF(currency_calculation=1,Cost_by_Input!J19,IF(currency_calculation=2,Cost_by_Input!J19*exchange_rate,IF(currency_calculation=3,Cost_by_Input!J19/exchange_rate)))</f>
        <v>0</v>
      </c>
      <c r="D74" s="941" t="b">
        <f>IF(currency_calculation=1,Cost_by_Input!K19,IF(currency_calculation=2,Cost_by_Input!K19*exchange_rate,IF(currency_calculation=3,Cost_by_Input!K19/exchange_rate)))</f>
        <v>0</v>
      </c>
      <c r="E74" s="941" t="b">
        <f>IF(currency_calculation=1,Cost_by_Input!L19,IF(currency_calculation=2,Cost_by_Input!L19*exchange_rate,IF(currency_calculation=3,Cost_by_Input!L19/exchange_rate)))</f>
        <v>0</v>
      </c>
      <c r="F74" s="941" t="b">
        <f>IF(currency_calculation=1,Cost_by_Input!M19,IF(currency_calculation=2,Cost_by_Input!M19*exchange_rate,IF(currency_calculation=3,Cost_by_Input!M19/exchange_rate)))</f>
        <v>0</v>
      </c>
      <c r="G74" s="941" t="b">
        <f>IF(currency_calculation=1,Cost_by_Input!N19,IF(currency_calculation=2,Cost_by_Input!N19*exchange_rate,IF(currency_calculation=3,Cost_by_Input!N19/exchange_rate)))</f>
        <v>0</v>
      </c>
      <c r="H74" s="942" t="b">
        <f>IF(currency_calculation=1,Cost_by_Input!O19,IF(currency_calculation=2,Cost_by_Input!O19*exchange_rate,IF(currency_calculation=3,Cost_by_Input!O19/exchange_rate)))</f>
        <v>0</v>
      </c>
    </row>
    <row r="75" spans="2:8">
      <c r="B75" s="6" t="str">
        <f>"Sub-Total Funding Available ("&amp;currency_results&amp;")"</f>
        <v>Sub-Total Funding Available (ZAR)</v>
      </c>
      <c r="C75" s="935">
        <f t="shared" ref="C75:H75" si="11">SUM(C64:C74)</f>
        <v>0</v>
      </c>
      <c r="D75" s="935">
        <f t="shared" si="11"/>
        <v>0</v>
      </c>
      <c r="E75" s="935">
        <f t="shared" si="11"/>
        <v>0</v>
      </c>
      <c r="F75" s="935">
        <f t="shared" si="11"/>
        <v>0</v>
      </c>
      <c r="G75" s="935">
        <f t="shared" si="11"/>
        <v>0</v>
      </c>
      <c r="H75" s="936">
        <f t="shared" si="11"/>
        <v>0</v>
      </c>
    </row>
    <row r="76" spans="2:8">
      <c r="B76" s="8" t="str">
        <f>"Total Funding Gap ("&amp;currency_results&amp;")"</f>
        <v>Total Funding Gap (ZAR)</v>
      </c>
      <c r="C76" s="938">
        <f>+C77-C75</f>
        <v>0</v>
      </c>
      <c r="D76" s="938">
        <f t="shared" ref="D76:H76" si="12">+D77-D75</f>
        <v>0</v>
      </c>
      <c r="E76" s="938">
        <f t="shared" si="12"/>
        <v>0</v>
      </c>
      <c r="F76" s="938">
        <f t="shared" si="12"/>
        <v>0</v>
      </c>
      <c r="G76" s="938">
        <f t="shared" si="12"/>
        <v>0</v>
      </c>
      <c r="H76" s="939">
        <f t="shared" si="12"/>
        <v>0</v>
      </c>
    </row>
    <row r="77" spans="2:8">
      <c r="B77" s="9" t="str">
        <f>"Total Funding Needed ("&amp;currency_results&amp;")"</f>
        <v>Total Funding Needed (ZAR)</v>
      </c>
      <c r="C77" s="941" t="b">
        <f t="shared" ref="C77:H77" si="13">+C47</f>
        <v>0</v>
      </c>
      <c r="D77" s="941" t="b">
        <f t="shared" si="13"/>
        <v>0</v>
      </c>
      <c r="E77" s="941" t="b">
        <f t="shared" si="13"/>
        <v>0</v>
      </c>
      <c r="F77" s="941" t="b">
        <f t="shared" si="13"/>
        <v>0</v>
      </c>
      <c r="G77" s="941" t="b">
        <f t="shared" si="13"/>
        <v>0</v>
      </c>
      <c r="H77" s="942" t="b">
        <f t="shared" si="13"/>
        <v>0</v>
      </c>
    </row>
    <row r="78" spans="2:8">
      <c r="B78" s="4"/>
      <c r="C78" s="495"/>
      <c r="D78" s="495"/>
      <c r="E78" s="495"/>
      <c r="F78" s="495"/>
      <c r="G78" s="495"/>
      <c r="H78" s="495"/>
    </row>
    <row r="79" spans="2:8">
      <c r="B79" s="4"/>
      <c r="C79" s="495"/>
      <c r="D79" s="495"/>
      <c r="E79" s="495"/>
      <c r="F79" s="495"/>
      <c r="G79" s="495"/>
      <c r="H79" s="495"/>
    </row>
    <row r="80" spans="2:8">
      <c r="C80" s="495"/>
      <c r="D80" s="495"/>
      <c r="E80" s="495"/>
      <c r="F80" s="495"/>
      <c r="G80" s="495"/>
      <c r="H80" s="495"/>
    </row>
    <row r="81" spans="2:8">
      <c r="B81" s="632" t="str">
        <f>"Total Funding Gap by Input ("&amp;currency_results&amp;")"</f>
        <v>Total Funding Gap by Input (ZAR)</v>
      </c>
      <c r="C81" s="1017"/>
      <c r="D81" s="1017"/>
      <c r="E81" s="1017"/>
      <c r="F81" s="1017"/>
      <c r="G81" s="1017"/>
      <c r="H81" s="1018"/>
    </row>
    <row r="82" spans="2:8">
      <c r="B82" s="8" t="str">
        <f>Cost_by_Input!A9</f>
        <v xml:space="preserve">Staff costs </v>
      </c>
      <c r="C82" s="938" t="b">
        <f>IF(currency_calculation=1,Cost_by_Input!R9,IF(currency_calculation=2,Cost_by_Input!R9*exchange_rate,IF(currency_calculation=3,Cost_by_Input!R9/exchange_rate)))</f>
        <v>0</v>
      </c>
      <c r="D82" s="938" t="b">
        <f>IF(currency_calculation=1,Cost_by_Input!S9,IF(currency_calculation=2,Cost_by_Input!S9*exchange_rate,IF(currency_calculation=3,Cost_by_Input!S9/exchange_rate)))</f>
        <v>0</v>
      </c>
      <c r="E82" s="938" t="b">
        <f>IF(currency_calculation=1,Cost_by_Input!T9,IF(currency_calculation=2,Cost_by_Input!T9*exchange_rate,IF(currency_calculation=3,Cost_by_Input!T9/exchange_rate)))</f>
        <v>0</v>
      </c>
      <c r="F82" s="938" t="b">
        <f>IF(currency_calculation=1,Cost_by_Input!U9,IF(currency_calculation=2,Cost_by_Input!U9*exchange_rate,IF(currency_calculation=3,Cost_by_Input!U9/exchange_rate)))</f>
        <v>0</v>
      </c>
      <c r="G82" s="938" t="b">
        <f>IF(currency_calculation=1,Cost_by_Input!V9,IF(currency_calculation=2,Cost_by_Input!V9*exchange_rate,IF(currency_calculation=3,Cost_by_Input!V9/exchange_rate)))</f>
        <v>0</v>
      </c>
      <c r="H82" s="939" t="b">
        <f>IF(currency_calculation=1,Cost_by_Input!W9,IF(currency_calculation=2,Cost_by_Input!W9*exchange_rate,IF(currency_calculation=3,Cost_by_Input!W9/exchange_rate)))</f>
        <v>0</v>
      </c>
    </row>
    <row r="83" spans="2:8">
      <c r="B83" s="8" t="str">
        <f>Cost_by_Input!A10</f>
        <v xml:space="preserve">Assistive Products and Supplies </v>
      </c>
      <c r="C83" s="938" t="b">
        <f>IF(currency_calculation=1,Cost_by_Input!R10,IF(currency_calculation=2,Cost_by_Input!R10*exchange_rate,IF(currency_calculation=3,Cost_by_Input!R10/exchange_rate)))</f>
        <v>0</v>
      </c>
      <c r="D83" s="938" t="b">
        <f>IF(currency_calculation=1,Cost_by_Input!S10,IF(currency_calculation=2,Cost_by_Input!S10*exchange_rate,IF(currency_calculation=3,Cost_by_Input!S10/exchange_rate)))</f>
        <v>0</v>
      </c>
      <c r="E83" s="938" t="b">
        <f>IF(currency_calculation=1,Cost_by_Input!T10,IF(currency_calculation=2,Cost_by_Input!T10*exchange_rate,IF(currency_calculation=3,Cost_by_Input!T10/exchange_rate)))</f>
        <v>0</v>
      </c>
      <c r="F83" s="938" t="b">
        <f>IF(currency_calculation=1,Cost_by_Input!U10,IF(currency_calculation=2,Cost_by_Input!U10*exchange_rate,IF(currency_calculation=3,Cost_by_Input!U10/exchange_rate)))</f>
        <v>0</v>
      </c>
      <c r="G83" s="938" t="b">
        <f>IF(currency_calculation=1,Cost_by_Input!V10,IF(currency_calculation=2,Cost_by_Input!V10*exchange_rate,IF(currency_calculation=3,Cost_by_Input!V10/exchange_rate)))</f>
        <v>0</v>
      </c>
      <c r="H83" s="939" t="b">
        <f>IF(currency_calculation=1,Cost_by_Input!W10,IF(currency_calculation=2,Cost_by_Input!W10*exchange_rate,IF(currency_calculation=3,Cost_by_Input!W10/exchange_rate)))</f>
        <v>0</v>
      </c>
    </row>
    <row r="84" spans="2:8">
      <c r="B84" s="8" t="str">
        <f>Cost_by_Input!A11</f>
        <v xml:space="preserve">Training Costs </v>
      </c>
      <c r="C84" s="938" t="b">
        <f>IF(currency_calculation=1,Cost_by_Input!R11,IF(currency_calculation=2,Cost_by_Input!R11*exchange_rate,IF(currency_calculation=3,Cost_by_Input!R11/exchange_rate)))</f>
        <v>0</v>
      </c>
      <c r="D84" s="938" t="b">
        <f>IF(currency_calculation=1,Cost_by_Input!S11,IF(currency_calculation=2,Cost_by_Input!S11*exchange_rate,IF(currency_calculation=3,Cost_by_Input!S11/exchange_rate)))</f>
        <v>0</v>
      </c>
      <c r="E84" s="938" t="b">
        <f>IF(currency_calculation=1,Cost_by_Input!T11,IF(currency_calculation=2,Cost_by_Input!T11*exchange_rate,IF(currency_calculation=3,Cost_by_Input!T11/exchange_rate)))</f>
        <v>0</v>
      </c>
      <c r="F84" s="938" t="b">
        <f>IF(currency_calculation=1,Cost_by_Input!U11,IF(currency_calculation=2,Cost_by_Input!U11*exchange_rate,IF(currency_calculation=3,Cost_by_Input!U11/exchange_rate)))</f>
        <v>0</v>
      </c>
      <c r="G84" s="938" t="b">
        <f>IF(currency_calculation=1,Cost_by_Input!V11,IF(currency_calculation=2,Cost_by_Input!V11*exchange_rate,IF(currency_calculation=3,Cost_by_Input!V11/exchange_rate)))</f>
        <v>0</v>
      </c>
      <c r="H84" s="939" t="b">
        <f>IF(currency_calculation=1,Cost_by_Input!W11,IF(currency_calculation=2,Cost_by_Input!W11*exchange_rate,IF(currency_calculation=3,Cost_by_Input!W11/exchange_rate)))</f>
        <v>0</v>
      </c>
    </row>
    <row r="85" spans="2:8">
      <c r="B85" s="8" t="str">
        <f>Cost_by_Input!A12</f>
        <v>Equipment</v>
      </c>
      <c r="C85" s="938" t="b">
        <f>IF(currency_calculation=1,Cost_by_Input!R12,IF(currency_calculation=2,Cost_by_Input!R12*exchange_rate,IF(currency_calculation=3,Cost_by_Input!R12/exchange_rate)))</f>
        <v>0</v>
      </c>
      <c r="D85" s="938" t="b">
        <f>IF(currency_calculation=1,Cost_by_Input!S12,IF(currency_calculation=2,Cost_by_Input!S12*exchange_rate,IF(currency_calculation=3,Cost_by_Input!S12/exchange_rate)))</f>
        <v>0</v>
      </c>
      <c r="E85" s="938" t="b">
        <f>IF(currency_calculation=1,Cost_by_Input!T12,IF(currency_calculation=2,Cost_by_Input!T12*exchange_rate,IF(currency_calculation=3,Cost_by_Input!T12/exchange_rate)))</f>
        <v>0</v>
      </c>
      <c r="F85" s="938" t="b">
        <f>IF(currency_calculation=1,Cost_by_Input!U12,IF(currency_calculation=2,Cost_by_Input!U12*exchange_rate,IF(currency_calculation=3,Cost_by_Input!U12/exchange_rate)))</f>
        <v>0</v>
      </c>
      <c r="G85" s="938" t="b">
        <f>IF(currency_calculation=1,Cost_by_Input!V12,IF(currency_calculation=2,Cost_by_Input!V12*exchange_rate,IF(currency_calculation=3,Cost_by_Input!V12/exchange_rate)))</f>
        <v>0</v>
      </c>
      <c r="H85" s="939" t="b">
        <f>IF(currency_calculation=1,Cost_by_Input!W12,IF(currency_calculation=2,Cost_by_Input!W12*exchange_rate,IF(currency_calculation=3,Cost_by_Input!W12/exchange_rate)))</f>
        <v>0</v>
      </c>
    </row>
    <row r="86" spans="2:8">
      <c r="B86" s="8" t="str">
        <f>Cost_by_Input!A13</f>
        <v>Other Recurrent Costs</v>
      </c>
      <c r="C86" s="938" t="b">
        <f>IF(currency_calculation=1,Cost_by_Input!R13,IF(currency_calculation=2,Cost_by_Input!R13*exchange_rate,IF(currency_calculation=3,Cost_by_Input!R13/exchange_rate)))</f>
        <v>0</v>
      </c>
      <c r="D86" s="938" t="b">
        <f>IF(currency_calculation=1,Cost_by_Input!S13,IF(currency_calculation=2,Cost_by_Input!S13*exchange_rate,IF(currency_calculation=3,Cost_by_Input!S13/exchange_rate)))</f>
        <v>0</v>
      </c>
      <c r="E86" s="938" t="b">
        <f>IF(currency_calculation=1,Cost_by_Input!T13,IF(currency_calculation=2,Cost_by_Input!T13*exchange_rate,IF(currency_calculation=3,Cost_by_Input!T13/exchange_rate)))</f>
        <v>0</v>
      </c>
      <c r="F86" s="938" t="b">
        <f>IF(currency_calculation=1,Cost_by_Input!U13,IF(currency_calculation=2,Cost_by_Input!U13*exchange_rate,IF(currency_calculation=3,Cost_by_Input!U13/exchange_rate)))</f>
        <v>0</v>
      </c>
      <c r="G86" s="938" t="b">
        <f>IF(currency_calculation=1,Cost_by_Input!V13,IF(currency_calculation=2,Cost_by_Input!V13*exchange_rate,IF(currency_calculation=3,Cost_by_Input!V13/exchange_rate)))</f>
        <v>0</v>
      </c>
      <c r="H86" s="939" t="b">
        <f>IF(currency_calculation=1,Cost_by_Input!W13,IF(currency_calculation=2,Cost_by_Input!W13*exchange_rate,IF(currency_calculation=3,Cost_by_Input!W13/exchange_rate)))</f>
        <v>0</v>
      </c>
    </row>
    <row r="87" spans="2:8">
      <c r="B87" s="8" t="str">
        <f>Cost_by_Input!A14</f>
        <v>Start-up Costs</v>
      </c>
      <c r="C87" s="938" t="b">
        <f>IF(currency_calculation=1,Cost_by_Input!R14,IF(currency_calculation=2,Cost_by_Input!R14*exchange_rate,IF(currency_calculation=3,Cost_by_Input!R14/exchange_rate)))</f>
        <v>0</v>
      </c>
      <c r="D87" s="938" t="b">
        <f>IF(currency_calculation=1,Cost_by_Input!S14,IF(currency_calculation=2,Cost_by_Input!S14*exchange_rate,IF(currency_calculation=3,Cost_by_Input!S14/exchange_rate)))</f>
        <v>0</v>
      </c>
      <c r="E87" s="938" t="b">
        <f>IF(currency_calculation=1,Cost_by_Input!T14,IF(currency_calculation=2,Cost_by_Input!T14*exchange_rate,IF(currency_calculation=3,Cost_by_Input!T14/exchange_rate)))</f>
        <v>0</v>
      </c>
      <c r="F87" s="938" t="b">
        <f>IF(currency_calculation=1,Cost_by_Input!U14,IF(currency_calculation=2,Cost_by_Input!U14*exchange_rate,IF(currency_calculation=3,Cost_by_Input!U14/exchange_rate)))</f>
        <v>0</v>
      </c>
      <c r="G87" s="938" t="b">
        <f>IF(currency_calculation=1,Cost_by_Input!V14,IF(currency_calculation=2,Cost_by_Input!V14*exchange_rate,IF(currency_calculation=3,Cost_by_Input!V14/exchange_rate)))</f>
        <v>0</v>
      </c>
      <c r="H87" s="939" t="b">
        <f>IF(currency_calculation=1,Cost_by_Input!W14,IF(currency_calculation=2,Cost_by_Input!W14*exchange_rate,IF(currency_calculation=3,Cost_by_Input!W14/exchange_rate)))</f>
        <v>0</v>
      </c>
    </row>
    <row r="88" spans="2:8">
      <c r="B88" s="8" t="str">
        <f>Cost_by_Input!A15</f>
        <v>Capital Costs</v>
      </c>
      <c r="C88" s="938" t="b">
        <f>IF(currency_calculation=1,Cost_by_Input!R15,IF(currency_calculation=2,Cost_by_Input!R15*exchange_rate,IF(currency_calculation=3,Cost_by_Input!R15/exchange_rate)))</f>
        <v>0</v>
      </c>
      <c r="D88" s="938" t="b">
        <f>IF(currency_calculation=1,Cost_by_Input!S15,IF(currency_calculation=2,Cost_by_Input!S15*exchange_rate,IF(currency_calculation=3,Cost_by_Input!S15/exchange_rate)))</f>
        <v>0</v>
      </c>
      <c r="E88" s="938" t="b">
        <f>IF(currency_calculation=1,Cost_by_Input!T15,IF(currency_calculation=2,Cost_by_Input!T15*exchange_rate,IF(currency_calculation=3,Cost_by_Input!T15/exchange_rate)))</f>
        <v>0</v>
      </c>
      <c r="F88" s="938" t="b">
        <f>IF(currency_calculation=1,Cost_by_Input!U15,IF(currency_calculation=2,Cost_by_Input!U15*exchange_rate,IF(currency_calculation=3,Cost_by_Input!U15/exchange_rate)))</f>
        <v>0</v>
      </c>
      <c r="G88" s="938" t="b">
        <f>IF(currency_calculation=1,Cost_by_Input!V15,IF(currency_calculation=2,Cost_by_Input!V15*exchange_rate,IF(currency_calculation=3,Cost_by_Input!V15/exchange_rate)))</f>
        <v>0</v>
      </c>
      <c r="H88" s="939" t="b">
        <f>IF(currency_calculation=1,Cost_by_Input!W15,IF(currency_calculation=2,Cost_by_Input!W15*exchange_rate,IF(currency_calculation=3,Cost_by_Input!W15/exchange_rate)))</f>
        <v>0</v>
      </c>
    </row>
    <row r="89" spans="2:8">
      <c r="B89" s="8">
        <f>Cost_by_Input!A16</f>
        <v>0</v>
      </c>
      <c r="C89" s="938" t="b">
        <f>IF(currency_calculation=1,Cost_by_Input!R16,IF(currency_calculation=2,Cost_by_Input!R16*exchange_rate,IF(currency_calculation=3,Cost_by_Input!R16/exchange_rate)))</f>
        <v>0</v>
      </c>
      <c r="D89" s="938" t="b">
        <f>IF(currency_calculation=1,Cost_by_Input!S16,IF(currency_calculation=2,Cost_by_Input!S16*exchange_rate,IF(currency_calculation=3,Cost_by_Input!S16/exchange_rate)))</f>
        <v>0</v>
      </c>
      <c r="E89" s="938" t="b">
        <f>IF(currency_calculation=1,Cost_by_Input!T16,IF(currency_calculation=2,Cost_by_Input!T16*exchange_rate,IF(currency_calculation=3,Cost_by_Input!T16/exchange_rate)))</f>
        <v>0</v>
      </c>
      <c r="F89" s="938" t="b">
        <f>IF(currency_calculation=1,Cost_by_Input!U16,IF(currency_calculation=2,Cost_by_Input!U16*exchange_rate,IF(currency_calculation=3,Cost_by_Input!U16/exchange_rate)))</f>
        <v>0</v>
      </c>
      <c r="G89" s="938" t="b">
        <f>IF(currency_calculation=1,Cost_by_Input!V16,IF(currency_calculation=2,Cost_by_Input!V16*exchange_rate,IF(currency_calculation=3,Cost_by_Input!V16/exchange_rate)))</f>
        <v>0</v>
      </c>
      <c r="H89" s="939" t="b">
        <f>IF(currency_calculation=1,Cost_by_Input!W16,IF(currency_calculation=2,Cost_by_Input!W16*exchange_rate,IF(currency_calculation=3,Cost_by_Input!W16/exchange_rate)))</f>
        <v>0</v>
      </c>
    </row>
    <row r="90" spans="2:8">
      <c r="B90" s="8">
        <f>Cost_by_Input!A17</f>
        <v>0</v>
      </c>
      <c r="C90" s="938" t="b">
        <f>IF(currency_calculation=1,Cost_by_Input!R17,IF(currency_calculation=2,Cost_by_Input!R17*exchange_rate,IF(currency_calculation=3,Cost_by_Input!R17/exchange_rate)))</f>
        <v>0</v>
      </c>
      <c r="D90" s="938" t="b">
        <f>IF(currency_calculation=1,Cost_by_Input!S17,IF(currency_calculation=2,Cost_by_Input!S17*exchange_rate,IF(currency_calculation=3,Cost_by_Input!S17/exchange_rate)))</f>
        <v>0</v>
      </c>
      <c r="E90" s="938" t="b">
        <f>IF(currency_calculation=1,Cost_by_Input!T17,IF(currency_calculation=2,Cost_by_Input!T17*exchange_rate,IF(currency_calculation=3,Cost_by_Input!T17/exchange_rate)))</f>
        <v>0</v>
      </c>
      <c r="F90" s="938" t="b">
        <f>IF(currency_calculation=1,Cost_by_Input!U17,IF(currency_calculation=2,Cost_by_Input!U17*exchange_rate,IF(currency_calculation=3,Cost_by_Input!U17/exchange_rate)))</f>
        <v>0</v>
      </c>
      <c r="G90" s="938" t="b">
        <f>IF(currency_calculation=1,Cost_by_Input!V17,IF(currency_calculation=2,Cost_by_Input!V17*exchange_rate,IF(currency_calculation=3,Cost_by_Input!V17/exchange_rate)))</f>
        <v>0</v>
      </c>
      <c r="H90" s="939" t="b">
        <f>IF(currency_calculation=1,Cost_by_Input!W17,IF(currency_calculation=2,Cost_by_Input!W17*exchange_rate,IF(currency_calculation=3,Cost_by_Input!W17/exchange_rate)))</f>
        <v>0</v>
      </c>
    </row>
    <row r="91" spans="2:8">
      <c r="B91" s="8">
        <f>Cost_by_Input!A18</f>
        <v>0</v>
      </c>
      <c r="C91" s="938" t="b">
        <f>IF(currency_calculation=1,Cost_by_Input!R18,IF(currency_calculation=2,Cost_by_Input!R18*exchange_rate,IF(currency_calculation=3,Cost_by_Input!R18/exchange_rate)))</f>
        <v>0</v>
      </c>
      <c r="D91" s="938" t="b">
        <f>IF(currency_calculation=1,Cost_by_Input!S18,IF(currency_calculation=2,Cost_by_Input!S18*exchange_rate,IF(currency_calculation=3,Cost_by_Input!S18/exchange_rate)))</f>
        <v>0</v>
      </c>
      <c r="E91" s="938" t="b">
        <f>IF(currency_calculation=1,Cost_by_Input!T18,IF(currency_calculation=2,Cost_by_Input!T18*exchange_rate,IF(currency_calculation=3,Cost_by_Input!T18/exchange_rate)))</f>
        <v>0</v>
      </c>
      <c r="F91" s="938" t="b">
        <f>IF(currency_calculation=1,Cost_by_Input!U18,IF(currency_calculation=2,Cost_by_Input!U18*exchange_rate,IF(currency_calculation=3,Cost_by_Input!U18/exchange_rate)))</f>
        <v>0</v>
      </c>
      <c r="G91" s="938" t="b">
        <f>IF(currency_calculation=1,Cost_by_Input!V18,IF(currency_calculation=2,Cost_by_Input!V18*exchange_rate,IF(currency_calculation=3,Cost_by_Input!V18/exchange_rate)))</f>
        <v>0</v>
      </c>
      <c r="H91" s="939" t="b">
        <f>IF(currency_calculation=1,Cost_by_Input!W18,IF(currency_calculation=2,Cost_by_Input!W18*exchange_rate,IF(currency_calculation=3,Cost_by_Input!W18/exchange_rate)))</f>
        <v>0</v>
      </c>
    </row>
    <row r="92" spans="2:8">
      <c r="B92" s="8">
        <f>Cost_by_Input!A19</f>
        <v>0</v>
      </c>
      <c r="C92" s="938" t="b">
        <f>IF(currency_calculation=1,Cost_by_Input!R19,IF(currency_calculation=2,Cost_by_Input!R19*exchange_rate,IF(currency_calculation=3,Cost_by_Input!R19/exchange_rate)))</f>
        <v>0</v>
      </c>
      <c r="D92" s="938" t="b">
        <f>IF(currency_calculation=1,Cost_by_Input!S19,IF(currency_calculation=2,Cost_by_Input!S19*exchange_rate,IF(currency_calculation=3,Cost_by_Input!S19/exchange_rate)))</f>
        <v>0</v>
      </c>
      <c r="E92" s="938" t="b">
        <f>IF(currency_calculation=1,Cost_by_Input!T19,IF(currency_calculation=2,Cost_by_Input!T19*exchange_rate,IF(currency_calculation=3,Cost_by_Input!T19/exchange_rate)))</f>
        <v>0</v>
      </c>
      <c r="F92" s="938" t="b">
        <f>IF(currency_calculation=1,Cost_by_Input!U19,IF(currency_calculation=2,Cost_by_Input!U19*exchange_rate,IF(currency_calculation=3,Cost_by_Input!U19/exchange_rate)))</f>
        <v>0</v>
      </c>
      <c r="G92" s="938" t="b">
        <f>IF(currency_calculation=1,Cost_by_Input!V19,IF(currency_calculation=2,Cost_by_Input!V19*exchange_rate,IF(currency_calculation=3,Cost_by_Input!V19/exchange_rate)))</f>
        <v>0</v>
      </c>
      <c r="H92" s="939" t="b">
        <f>IF(currency_calculation=1,Cost_by_Input!W19,IF(currency_calculation=2,Cost_by_Input!W19*exchange_rate,IF(currency_calculation=3,Cost_by_Input!W19/exchange_rate)))</f>
        <v>0</v>
      </c>
    </row>
    <row r="93" spans="2:8" ht="15" thickBot="1">
      <c r="B93" s="8">
        <f>Cost_by_Input!A20</f>
        <v>0</v>
      </c>
      <c r="C93" s="938" t="b">
        <f>IF(currency_calculation=1,Cost_by_Input!R20,IF(currency_calculation=2,Cost_by_Input!R20*exchange_rate,IF(currency_calculation=3,Cost_by_Input!R20/exchange_rate)))</f>
        <v>0</v>
      </c>
      <c r="D93" s="938" t="b">
        <f>IF(currency_calculation=1,Cost_by_Input!S20,IF(currency_calculation=2,Cost_by_Input!S20*exchange_rate,IF(currency_calculation=3,Cost_by_Input!S20/exchange_rate)))</f>
        <v>0</v>
      </c>
      <c r="E93" s="938" t="b">
        <f>IF(currency_calculation=1,Cost_by_Input!T20,IF(currency_calculation=2,Cost_by_Input!T20*exchange_rate,IF(currency_calculation=3,Cost_by_Input!T20/exchange_rate)))</f>
        <v>0</v>
      </c>
      <c r="F93" s="938" t="b">
        <f>IF(currency_calculation=1,Cost_by_Input!U20,IF(currency_calculation=2,Cost_by_Input!U20*exchange_rate,IF(currency_calculation=3,Cost_by_Input!U20/exchange_rate)))</f>
        <v>0</v>
      </c>
      <c r="G93" s="938" t="b">
        <f>IF(currency_calculation=1,Cost_by_Input!V20,IF(currency_calculation=2,Cost_by_Input!V20*exchange_rate,IF(currency_calculation=3,Cost_by_Input!V20/exchange_rate)))</f>
        <v>0</v>
      </c>
      <c r="H93" s="939" t="b">
        <f>IF(currency_calculation=1,Cost_by_Input!W20,IF(currency_calculation=2,Cost_by_Input!W20*exchange_rate,IF(currency_calculation=3,Cost_by_Input!W20/exchange_rate)))</f>
        <v>0</v>
      </c>
    </row>
    <row r="94" spans="2:8" ht="15" thickBot="1">
      <c r="B94" s="515" t="s">
        <v>1434</v>
      </c>
      <c r="C94" s="1019">
        <f t="shared" ref="C94:H94" si="14">SUM(C82:C93)</f>
        <v>0</v>
      </c>
      <c r="D94" s="1019">
        <f t="shared" si="14"/>
        <v>0</v>
      </c>
      <c r="E94" s="1019">
        <f t="shared" si="14"/>
        <v>0</v>
      </c>
      <c r="F94" s="1019">
        <f t="shared" si="14"/>
        <v>0</v>
      </c>
      <c r="G94" s="1019">
        <f t="shared" si="14"/>
        <v>0</v>
      </c>
      <c r="H94" s="1020">
        <f t="shared" si="14"/>
        <v>0</v>
      </c>
    </row>
    <row r="95" spans="2:8">
      <c r="C95" s="495"/>
      <c r="D95" s="495"/>
      <c r="E95" s="495"/>
      <c r="F95" s="495"/>
      <c r="G95" s="495"/>
      <c r="H95" s="495"/>
    </row>
    <row r="96" spans="2:8">
      <c r="C96" s="495"/>
      <c r="D96" s="495"/>
      <c r="E96" s="495"/>
      <c r="F96" s="495"/>
      <c r="G96" s="495"/>
      <c r="H96" s="495"/>
    </row>
    <row r="97" spans="2:8">
      <c r="B97" s="632" t="str">
        <f>"Total Funding by Source ("&amp;currency_results&amp;")"</f>
        <v>Total Funding by Source (ZAR)</v>
      </c>
      <c r="C97" s="1017"/>
      <c r="D97" s="1017"/>
      <c r="E97" s="1017"/>
      <c r="F97" s="1017"/>
      <c r="G97" s="1017"/>
      <c r="H97" s="1018"/>
    </row>
    <row r="98" spans="2:8">
      <c r="B98" s="8">
        <f>Cost_by_Input!Y9</f>
        <v>0</v>
      </c>
      <c r="C98" s="938" t="b">
        <f>IF(currency_calculation=1,Cost_by_Input!Z9,IF(currency_calculation=2,Cost_by_Input!Z9*exchange_rate,IF(currency_calculation=3,Cost_by_Input!Z9/exchange_rate)))</f>
        <v>0</v>
      </c>
      <c r="D98" s="938" t="b">
        <f>IF(currency_calculation=1,Cost_by_Input!AA9,IF(currency_calculation=2,Cost_by_Input!AA9*exchange_rate,IF(currency_calculation=3,Cost_by_Input!AA9/exchange_rate)))</f>
        <v>0</v>
      </c>
      <c r="E98" s="938" t="b">
        <f>IF(currency_calculation=1,Cost_by_Input!AB9,IF(currency_calculation=2,Cost_by_Input!AB9*exchange_rate,IF(currency_calculation=3,Cost_by_Input!AB9/exchange_rate)))</f>
        <v>0</v>
      </c>
      <c r="F98" s="938" t="b">
        <f>IF(currency_calculation=1,Cost_by_Input!AC9,IF(currency_calculation=2,Cost_by_Input!AC9*exchange_rate,IF(currency_calculation=3,Cost_by_Input!AC9/exchange_rate)))</f>
        <v>0</v>
      </c>
      <c r="G98" s="938" t="b">
        <f>IF(currency_calculation=1,Cost_by_Input!AD9,IF(currency_calculation=2,Cost_by_Input!AD9*exchange_rate,IF(currency_calculation=3,Cost_by_Input!AD9/exchange_rate)))</f>
        <v>0</v>
      </c>
      <c r="H98" s="939" t="b">
        <f>IF(currency_calculation=1,Cost_by_Input!AE9,IF(currency_calculation=2,Cost_by_Input!AE9*exchange_rate,IF(currency_calculation=3,Cost_by_Input!AE9/exchange_rate)))</f>
        <v>0</v>
      </c>
    </row>
    <row r="99" spans="2:8">
      <c r="B99" s="8">
        <f>Cost_by_Input!Y10</f>
        <v>0</v>
      </c>
      <c r="C99" s="938" t="b">
        <f>IF(currency_calculation=1,Cost_by_Input!Z10,IF(currency_calculation=2,Cost_by_Input!Z10*exchange_rate,IF(currency_calculation=3,Cost_by_Input!Z10/exchange_rate)))</f>
        <v>0</v>
      </c>
      <c r="D99" s="938" t="b">
        <f>IF(currency_calculation=1,Cost_by_Input!AA10,IF(currency_calculation=2,Cost_by_Input!AA10*exchange_rate,IF(currency_calculation=3,Cost_by_Input!AA10/exchange_rate)))</f>
        <v>0</v>
      </c>
      <c r="E99" s="938" t="b">
        <f>IF(currency_calculation=1,Cost_by_Input!AB10,IF(currency_calculation=2,Cost_by_Input!AB10*exchange_rate,IF(currency_calculation=3,Cost_by_Input!AB10/exchange_rate)))</f>
        <v>0</v>
      </c>
      <c r="F99" s="938" t="b">
        <f>IF(currency_calculation=1,Cost_by_Input!AC10,IF(currency_calculation=2,Cost_by_Input!AC10*exchange_rate,IF(currency_calculation=3,Cost_by_Input!AC10/exchange_rate)))</f>
        <v>0</v>
      </c>
      <c r="G99" s="938" t="b">
        <f>IF(currency_calculation=1,Cost_by_Input!AD10,IF(currency_calculation=2,Cost_by_Input!AD10*exchange_rate,IF(currency_calculation=3,Cost_by_Input!AD10/exchange_rate)))</f>
        <v>0</v>
      </c>
      <c r="H99" s="939" t="b">
        <f>IF(currency_calculation=1,Cost_by_Input!AE10,IF(currency_calculation=2,Cost_by_Input!AE10*exchange_rate,IF(currency_calculation=3,Cost_by_Input!AE10/exchange_rate)))</f>
        <v>0</v>
      </c>
    </row>
    <row r="100" spans="2:8">
      <c r="B100" s="8">
        <f>Cost_by_Input!Y11</f>
        <v>0</v>
      </c>
      <c r="C100" s="938" t="b">
        <f>IF(currency_calculation=1,Cost_by_Input!Z11,IF(currency_calculation=2,Cost_by_Input!Z11*exchange_rate,IF(currency_calculation=3,Cost_by_Input!Z11/exchange_rate)))</f>
        <v>0</v>
      </c>
      <c r="D100" s="938" t="b">
        <f>IF(currency_calculation=1,Cost_by_Input!AA11,IF(currency_calculation=2,Cost_by_Input!AA11*exchange_rate,IF(currency_calculation=3,Cost_by_Input!AA11/exchange_rate)))</f>
        <v>0</v>
      </c>
      <c r="E100" s="938" t="b">
        <f>IF(currency_calculation=1,Cost_by_Input!AB11,IF(currency_calculation=2,Cost_by_Input!AB11*exchange_rate,IF(currency_calculation=3,Cost_by_Input!AB11/exchange_rate)))</f>
        <v>0</v>
      </c>
      <c r="F100" s="938" t="b">
        <f>IF(currency_calculation=1,Cost_by_Input!AC11,IF(currency_calculation=2,Cost_by_Input!AC11*exchange_rate,IF(currency_calculation=3,Cost_by_Input!AC11/exchange_rate)))</f>
        <v>0</v>
      </c>
      <c r="G100" s="938" t="b">
        <f>IF(currency_calculation=1,Cost_by_Input!AD11,IF(currency_calculation=2,Cost_by_Input!AD11*exchange_rate,IF(currency_calculation=3,Cost_by_Input!AD11/exchange_rate)))</f>
        <v>0</v>
      </c>
      <c r="H100" s="939" t="b">
        <f>IF(currency_calculation=1,Cost_by_Input!AE11,IF(currency_calculation=2,Cost_by_Input!AE11*exchange_rate,IF(currency_calculation=3,Cost_by_Input!AE11/exchange_rate)))</f>
        <v>0</v>
      </c>
    </row>
    <row r="101" spans="2:8">
      <c r="B101" s="8">
        <f>Cost_by_Input!Y13</f>
        <v>0</v>
      </c>
      <c r="C101" s="938" t="b">
        <f>IF(currency_calculation=1,Cost_by_Input!Z13,IF(currency_calculation=2,Cost_by_Input!Z13*exchange_rate,IF(currency_calculation=3,Cost_by_Input!Z13/exchange_rate)))</f>
        <v>0</v>
      </c>
      <c r="D101" s="938" t="b">
        <f>IF(currency_calculation=1,Cost_by_Input!AA13,IF(currency_calculation=2,Cost_by_Input!AA13*exchange_rate,IF(currency_calculation=3,Cost_by_Input!AA13/exchange_rate)))</f>
        <v>0</v>
      </c>
      <c r="E101" s="938" t="b">
        <f>IF(currency_calculation=1,Cost_by_Input!AB13,IF(currency_calculation=2,Cost_by_Input!AB13*exchange_rate,IF(currency_calculation=3,Cost_by_Input!AB13/exchange_rate)))</f>
        <v>0</v>
      </c>
      <c r="F101" s="938" t="b">
        <f>IF(currency_calculation=1,Cost_by_Input!AC13,IF(currency_calculation=2,Cost_by_Input!AC13*exchange_rate,IF(currency_calculation=3,Cost_by_Input!AC13/exchange_rate)))</f>
        <v>0</v>
      </c>
      <c r="G101" s="938" t="b">
        <f>IF(currency_calculation=1,Cost_by_Input!AD13,IF(currency_calculation=2,Cost_by_Input!AD13*exchange_rate,IF(currency_calculation=3,Cost_by_Input!AD13/exchange_rate)))</f>
        <v>0</v>
      </c>
      <c r="H101" s="939" t="b">
        <f>IF(currency_calculation=1,Cost_by_Input!AE13,IF(currency_calculation=2,Cost_by_Input!AE13*exchange_rate,IF(currency_calculation=3,Cost_by_Input!AE13/exchange_rate)))</f>
        <v>0</v>
      </c>
    </row>
    <row r="102" spans="2:8">
      <c r="B102" s="8">
        <f>Cost_by_Input!Y14</f>
        <v>0</v>
      </c>
      <c r="C102" s="938" t="b">
        <f>IF(currency_calculation=1,Cost_by_Input!Z14,IF(currency_calculation=2,Cost_by_Input!Z14*exchange_rate,IF(currency_calculation=3,Cost_by_Input!Z14/exchange_rate)))</f>
        <v>0</v>
      </c>
      <c r="D102" s="938" t="b">
        <f>IF(currency_calculation=1,Cost_by_Input!AA14,IF(currency_calculation=2,Cost_by_Input!AA14*exchange_rate,IF(currency_calculation=3,Cost_by_Input!AA14/exchange_rate)))</f>
        <v>0</v>
      </c>
      <c r="E102" s="938" t="b">
        <f>IF(currency_calculation=1,Cost_by_Input!AB14,IF(currency_calculation=2,Cost_by_Input!AB14*exchange_rate,IF(currency_calculation=3,Cost_by_Input!AB14/exchange_rate)))</f>
        <v>0</v>
      </c>
      <c r="F102" s="938" t="b">
        <f>IF(currency_calculation=1,Cost_by_Input!AC14,IF(currency_calculation=2,Cost_by_Input!AC14*exchange_rate,IF(currency_calculation=3,Cost_by_Input!AC14/exchange_rate)))</f>
        <v>0</v>
      </c>
      <c r="G102" s="938" t="b">
        <f>IF(currency_calculation=1,Cost_by_Input!AD14,IF(currency_calculation=2,Cost_by_Input!AD14*exchange_rate,IF(currency_calculation=3,Cost_by_Input!AD14/exchange_rate)))</f>
        <v>0</v>
      </c>
      <c r="H102" s="939" t="b">
        <f>IF(currency_calculation=1,Cost_by_Input!AE14,IF(currency_calculation=2,Cost_by_Input!AE14*exchange_rate,IF(currency_calculation=3,Cost_by_Input!AE14/exchange_rate)))</f>
        <v>0</v>
      </c>
    </row>
    <row r="103" spans="2:8">
      <c r="B103" s="8">
        <f>Cost_by_Input!Y15</f>
        <v>0</v>
      </c>
      <c r="C103" s="938" t="b">
        <f>IF(currency_calculation=1,Cost_by_Input!Z15,IF(currency_calculation=2,Cost_by_Input!Z15*exchange_rate,IF(currency_calculation=3,Cost_by_Input!Z15/exchange_rate)))</f>
        <v>0</v>
      </c>
      <c r="D103" s="938" t="b">
        <f>IF(currency_calculation=1,Cost_by_Input!AA15,IF(currency_calculation=2,Cost_by_Input!AA15*exchange_rate,IF(currency_calculation=3,Cost_by_Input!AA15/exchange_rate)))</f>
        <v>0</v>
      </c>
      <c r="E103" s="938" t="b">
        <f>IF(currency_calculation=1,Cost_by_Input!AB15,IF(currency_calculation=2,Cost_by_Input!AB15*exchange_rate,IF(currency_calculation=3,Cost_by_Input!AB15/exchange_rate)))</f>
        <v>0</v>
      </c>
      <c r="F103" s="938" t="b">
        <f>IF(currency_calculation=1,Cost_by_Input!AC15,IF(currency_calculation=2,Cost_by_Input!AC15*exchange_rate,IF(currency_calculation=3,Cost_by_Input!AC15/exchange_rate)))</f>
        <v>0</v>
      </c>
      <c r="G103" s="938" t="b">
        <f>IF(currency_calculation=1,Cost_by_Input!AD15,IF(currency_calculation=2,Cost_by_Input!AD15*exchange_rate,IF(currency_calculation=3,Cost_by_Input!AD15/exchange_rate)))</f>
        <v>0</v>
      </c>
      <c r="H103" s="939" t="b">
        <f>IF(currency_calculation=1,Cost_by_Input!AE15,IF(currency_calculation=2,Cost_by_Input!AE15*exchange_rate,IF(currency_calculation=3,Cost_by_Input!AE15/exchange_rate)))</f>
        <v>0</v>
      </c>
    </row>
    <row r="104" spans="2:8">
      <c r="B104" s="8">
        <f>Cost_by_Input!Y16</f>
        <v>0</v>
      </c>
      <c r="C104" s="938" t="b">
        <f>IF(currency_calculation=1,Cost_by_Input!Z16,IF(currency_calculation=2,Cost_by_Input!Z16*exchange_rate,IF(currency_calculation=3,Cost_by_Input!Z16/exchange_rate)))</f>
        <v>0</v>
      </c>
      <c r="D104" s="938" t="b">
        <f>IF(currency_calculation=1,Cost_by_Input!AA16,IF(currency_calculation=2,Cost_by_Input!AA16*exchange_rate,IF(currency_calculation=3,Cost_by_Input!AA16/exchange_rate)))</f>
        <v>0</v>
      </c>
      <c r="E104" s="938" t="b">
        <f>IF(currency_calculation=1,Cost_by_Input!AB16,IF(currency_calculation=2,Cost_by_Input!AB16*exchange_rate,IF(currency_calculation=3,Cost_by_Input!AB16/exchange_rate)))</f>
        <v>0</v>
      </c>
      <c r="F104" s="938" t="b">
        <f>IF(currency_calculation=1,Cost_by_Input!AC16,IF(currency_calculation=2,Cost_by_Input!AC16*exchange_rate,IF(currency_calculation=3,Cost_by_Input!AC16/exchange_rate)))</f>
        <v>0</v>
      </c>
      <c r="G104" s="938" t="b">
        <f>IF(currency_calculation=1,Cost_by_Input!AD16,IF(currency_calculation=2,Cost_by_Input!AD16*exchange_rate,IF(currency_calculation=3,Cost_by_Input!AD16/exchange_rate)))</f>
        <v>0</v>
      </c>
      <c r="H104" s="939" t="b">
        <f>IF(currency_calculation=1,Cost_by_Input!AE16,IF(currency_calculation=2,Cost_by_Input!AE16*exchange_rate,IF(currency_calculation=3,Cost_by_Input!AE16/exchange_rate)))</f>
        <v>0</v>
      </c>
    </row>
    <row r="105" spans="2:8">
      <c r="B105" s="8">
        <f>Cost_by_Input!Y17</f>
        <v>0</v>
      </c>
      <c r="C105" s="938" t="b">
        <f>IF(currency_calculation=1,Cost_by_Input!Z17,IF(currency_calculation=2,Cost_by_Input!Z17*exchange_rate,IF(currency_calculation=3,Cost_by_Input!Z17/exchange_rate)))</f>
        <v>0</v>
      </c>
      <c r="D105" s="938" t="b">
        <f>IF(currency_calculation=1,Cost_by_Input!AA17,IF(currency_calculation=2,Cost_by_Input!AA17*exchange_rate,IF(currency_calculation=3,Cost_by_Input!AA17/exchange_rate)))</f>
        <v>0</v>
      </c>
      <c r="E105" s="938" t="b">
        <f>IF(currency_calculation=1,Cost_by_Input!AB17,IF(currency_calculation=2,Cost_by_Input!AB17*exchange_rate,IF(currency_calculation=3,Cost_by_Input!AB17/exchange_rate)))</f>
        <v>0</v>
      </c>
      <c r="F105" s="938" t="b">
        <f>IF(currency_calculation=1,Cost_by_Input!AC17,IF(currency_calculation=2,Cost_by_Input!AC17*exchange_rate,IF(currency_calculation=3,Cost_by_Input!AC17/exchange_rate)))</f>
        <v>0</v>
      </c>
      <c r="G105" s="938" t="b">
        <f>IF(currency_calculation=1,Cost_by_Input!AD17,IF(currency_calculation=2,Cost_by_Input!AD17*exchange_rate,IF(currency_calculation=3,Cost_by_Input!AD17/exchange_rate)))</f>
        <v>0</v>
      </c>
      <c r="H105" s="939" t="b">
        <f>IF(currency_calculation=1,Cost_by_Input!AE17,IF(currency_calculation=2,Cost_by_Input!AE17*exchange_rate,IF(currency_calculation=3,Cost_by_Input!AE17/exchange_rate)))</f>
        <v>0</v>
      </c>
    </row>
    <row r="106" spans="2:8">
      <c r="B106" s="9">
        <f>Cost_by_Input!Y18</f>
        <v>0</v>
      </c>
      <c r="C106" s="941" t="b">
        <f>IF(currency_calculation=1,Cost_by_Input!Z18,IF(currency_calculation=2,Cost_by_Input!Z18*exchange_rate,IF(currency_calculation=3,Cost_by_Input!Z18/exchange_rate)))</f>
        <v>0</v>
      </c>
      <c r="D106" s="941" t="b">
        <f>IF(currency_calculation=1,Cost_by_Input!AA18,IF(currency_calculation=2,Cost_by_Input!AA18*exchange_rate,IF(currency_calculation=3,Cost_by_Input!AA18/exchange_rate)))</f>
        <v>0</v>
      </c>
      <c r="E106" s="941" t="b">
        <f>IF(currency_calculation=1,Cost_by_Input!AB18,IF(currency_calculation=2,Cost_by_Input!AB18*exchange_rate,IF(currency_calculation=3,Cost_by_Input!AB18/exchange_rate)))</f>
        <v>0</v>
      </c>
      <c r="F106" s="941" t="b">
        <f>IF(currency_calculation=1,Cost_by_Input!AC18,IF(currency_calculation=2,Cost_by_Input!AC18*exchange_rate,IF(currency_calculation=3,Cost_by_Input!AC18/exchange_rate)))</f>
        <v>0</v>
      </c>
      <c r="G106" s="941" t="b">
        <f>IF(currency_calculation=1,Cost_by_Input!AD18,IF(currency_calculation=2,Cost_by_Input!AD18*exchange_rate,IF(currency_calculation=3,Cost_by_Input!AD18/exchange_rate)))</f>
        <v>0</v>
      </c>
      <c r="H106" s="942" t="b">
        <f>IF(currency_calculation=1,Cost_by_Input!AE18,IF(currency_calculation=2,Cost_by_Input!AE18*exchange_rate,IF(currency_calculation=3,Cost_by_Input!AE18/exchange_rate)))</f>
        <v>0</v>
      </c>
    </row>
    <row r="107" spans="2:8">
      <c r="B107" s="6" t="s">
        <v>1164</v>
      </c>
      <c r="C107" s="935">
        <f t="shared" ref="C107:H107" si="15">SUM(C98:C106)</f>
        <v>0</v>
      </c>
      <c r="D107" s="935">
        <f t="shared" si="15"/>
        <v>0</v>
      </c>
      <c r="E107" s="935">
        <f t="shared" si="15"/>
        <v>0</v>
      </c>
      <c r="F107" s="935">
        <f t="shared" si="15"/>
        <v>0</v>
      </c>
      <c r="G107" s="935">
        <f t="shared" si="15"/>
        <v>0</v>
      </c>
      <c r="H107" s="936">
        <f t="shared" si="15"/>
        <v>0</v>
      </c>
    </row>
    <row r="108" spans="2:8">
      <c r="B108" s="8" t="s">
        <v>1435</v>
      </c>
      <c r="C108" s="938">
        <f>+C109-C107</f>
        <v>0</v>
      </c>
      <c r="D108" s="938">
        <f t="shared" ref="D108:H108" si="16">+D109-D107</f>
        <v>0</v>
      </c>
      <c r="E108" s="938">
        <f t="shared" si="16"/>
        <v>0</v>
      </c>
      <c r="F108" s="938">
        <f t="shared" si="16"/>
        <v>0</v>
      </c>
      <c r="G108" s="938">
        <f t="shared" si="16"/>
        <v>0</v>
      </c>
      <c r="H108" s="939">
        <f t="shared" si="16"/>
        <v>0</v>
      </c>
    </row>
    <row r="109" spans="2:8">
      <c r="B109" s="9" t="s">
        <v>1436</v>
      </c>
      <c r="C109" s="941" t="b">
        <f>C47</f>
        <v>0</v>
      </c>
      <c r="D109" s="941" t="b">
        <f t="shared" ref="D109:H109" si="17">D47</f>
        <v>0</v>
      </c>
      <c r="E109" s="941" t="b">
        <f t="shared" si="17"/>
        <v>0</v>
      </c>
      <c r="F109" s="941" t="b">
        <f t="shared" si="17"/>
        <v>0</v>
      </c>
      <c r="G109" s="941" t="b">
        <f t="shared" si="17"/>
        <v>0</v>
      </c>
      <c r="H109" s="942" t="b">
        <f t="shared" si="17"/>
        <v>0</v>
      </c>
    </row>
    <row r="110" spans="2:8">
      <c r="C110" s="516"/>
      <c r="D110" s="516"/>
      <c r="E110" s="516"/>
      <c r="F110" s="516"/>
      <c r="G110" s="516"/>
      <c r="H110" s="516"/>
    </row>
    <row r="111" spans="2:8">
      <c r="C111" s="516"/>
      <c r="D111" s="516"/>
      <c r="E111" s="516"/>
      <c r="F111" s="516"/>
      <c r="G111" s="516"/>
      <c r="H111" s="516"/>
    </row>
    <row r="112" spans="2:8">
      <c r="C112" s="516"/>
      <c r="D112" s="516"/>
      <c r="E112" s="516"/>
      <c r="F112" s="516"/>
      <c r="G112" s="516"/>
      <c r="H112" s="516"/>
    </row>
    <row r="113" spans="3:8">
      <c r="C113" s="516"/>
      <c r="D113" s="516"/>
      <c r="E113" s="516"/>
      <c r="F113" s="516"/>
      <c r="G113" s="516"/>
      <c r="H113" s="516"/>
    </row>
    <row r="114" spans="3:8">
      <c r="C114" s="516"/>
      <c r="D114" s="516"/>
      <c r="E114" s="516"/>
      <c r="F114" s="516"/>
      <c r="G114" s="516"/>
      <c r="H114" s="516"/>
    </row>
    <row r="115" spans="3:8">
      <c r="C115" s="516"/>
      <c r="D115" s="516"/>
      <c r="E115" s="516"/>
      <c r="F115" s="516"/>
      <c r="G115" s="516"/>
      <c r="H115" s="516"/>
    </row>
    <row r="116" spans="3:8">
      <c r="C116" s="516"/>
      <c r="D116" s="516"/>
      <c r="E116" s="516"/>
      <c r="F116" s="516"/>
      <c r="G116" s="516"/>
      <c r="H116" s="516"/>
    </row>
    <row r="117" spans="3:8">
      <c r="C117" s="516"/>
      <c r="D117" s="516"/>
      <c r="E117" s="516"/>
      <c r="F117" s="516"/>
      <c r="G117" s="516"/>
      <c r="H117" s="516"/>
    </row>
    <row r="118" spans="3:8">
      <c r="C118" s="516"/>
      <c r="D118" s="516"/>
      <c r="E118" s="516"/>
      <c r="F118" s="516"/>
      <c r="G118" s="516"/>
      <c r="H118" s="516"/>
    </row>
    <row r="119" spans="3:8">
      <c r="C119" s="516"/>
      <c r="D119" s="516"/>
      <c r="E119" s="516"/>
      <c r="F119" s="516"/>
      <c r="G119" s="516"/>
      <c r="H119" s="516"/>
    </row>
    <row r="120" spans="3:8">
      <c r="C120" s="516"/>
      <c r="D120" s="516"/>
      <c r="E120" s="516"/>
      <c r="F120" s="516"/>
      <c r="G120" s="516"/>
      <c r="H120" s="516"/>
    </row>
    <row r="121" spans="3:8">
      <c r="C121" s="516"/>
      <c r="D121" s="516"/>
      <c r="E121" s="516"/>
      <c r="F121" s="516"/>
      <c r="G121" s="516"/>
      <c r="H121" s="516"/>
    </row>
    <row r="122" spans="3:8">
      <c r="C122" s="516"/>
      <c r="D122" s="516"/>
      <c r="E122" s="516"/>
      <c r="F122" s="516"/>
      <c r="G122" s="516"/>
      <c r="H122" s="516"/>
    </row>
    <row r="123" spans="3:8">
      <c r="C123" s="516"/>
      <c r="D123" s="516"/>
      <c r="E123" s="516"/>
      <c r="F123" s="516"/>
      <c r="G123" s="516"/>
      <c r="H123" s="516"/>
    </row>
    <row r="124" spans="3:8">
      <c r="C124" s="516"/>
      <c r="D124" s="516"/>
      <c r="E124" s="516"/>
      <c r="F124" s="516"/>
      <c r="G124" s="516"/>
      <c r="H124" s="516"/>
    </row>
    <row r="125" spans="3:8">
      <c r="C125" s="516"/>
      <c r="D125" s="516"/>
      <c r="E125" s="516"/>
      <c r="F125" s="516"/>
      <c r="G125" s="516"/>
      <c r="H125" s="516"/>
    </row>
    <row r="126" spans="3:8">
      <c r="C126" s="516"/>
      <c r="D126" s="516"/>
      <c r="E126" s="516"/>
      <c r="F126" s="516"/>
      <c r="G126" s="516"/>
      <c r="H126" s="516"/>
    </row>
    <row r="127" spans="3:8">
      <c r="C127" s="516"/>
      <c r="D127" s="516"/>
      <c r="E127" s="516"/>
      <c r="F127" s="516"/>
      <c r="G127" s="516"/>
      <c r="H127" s="516"/>
    </row>
    <row r="128" spans="3:8">
      <c r="C128" s="516"/>
      <c r="D128" s="516"/>
      <c r="E128" s="516"/>
      <c r="F128" s="516"/>
      <c r="G128" s="516"/>
      <c r="H128" s="516"/>
    </row>
    <row r="129" spans="3:8">
      <c r="C129" s="516"/>
      <c r="D129" s="516"/>
      <c r="E129" s="516"/>
      <c r="F129" s="516"/>
      <c r="G129" s="516"/>
      <c r="H129" s="516"/>
    </row>
    <row r="130" spans="3:8">
      <c r="C130" s="516"/>
      <c r="D130" s="516"/>
      <c r="E130" s="516"/>
      <c r="F130" s="516"/>
      <c r="G130" s="516"/>
      <c r="H130" s="516"/>
    </row>
    <row r="131" spans="3:8">
      <c r="C131" s="516"/>
      <c r="D131" s="516"/>
      <c r="E131" s="516"/>
      <c r="F131" s="516"/>
      <c r="G131" s="516"/>
      <c r="H131" s="516"/>
    </row>
    <row r="132" spans="3:8">
      <c r="C132" s="516"/>
      <c r="D132" s="516"/>
      <c r="E132" s="516"/>
      <c r="F132" s="516"/>
      <c r="G132" s="516"/>
      <c r="H132" s="516"/>
    </row>
    <row r="133" spans="3:8">
      <c r="C133" s="516"/>
      <c r="D133" s="516"/>
      <c r="E133" s="516"/>
      <c r="F133" s="516"/>
      <c r="G133" s="516"/>
      <c r="H133" s="516"/>
    </row>
    <row r="134" spans="3:8">
      <c r="C134" s="516"/>
      <c r="D134" s="516"/>
      <c r="E134" s="516"/>
      <c r="F134" s="516"/>
      <c r="G134" s="516"/>
      <c r="H134" s="516"/>
    </row>
    <row r="135" spans="3:8">
      <c r="C135" s="516"/>
      <c r="D135" s="516"/>
      <c r="E135" s="516"/>
      <c r="F135" s="516"/>
      <c r="G135" s="516"/>
      <c r="H135" s="516"/>
    </row>
    <row r="136" spans="3:8">
      <c r="C136" s="516"/>
      <c r="D136" s="516"/>
      <c r="E136" s="516"/>
      <c r="F136" s="516"/>
      <c r="G136" s="516"/>
      <c r="H136" s="516"/>
    </row>
    <row r="137" spans="3:8">
      <c r="C137" s="516"/>
      <c r="D137" s="516"/>
      <c r="E137" s="516"/>
      <c r="F137" s="516"/>
      <c r="G137" s="516"/>
      <c r="H137" s="516"/>
    </row>
    <row r="138" spans="3:8">
      <c r="C138" s="516"/>
      <c r="D138" s="516"/>
      <c r="E138" s="516"/>
      <c r="F138" s="516"/>
      <c r="G138" s="516"/>
      <c r="H138" s="516"/>
    </row>
    <row r="139" spans="3:8">
      <c r="C139" s="516"/>
      <c r="D139" s="516"/>
      <c r="E139" s="516"/>
      <c r="F139" s="516"/>
      <c r="G139" s="516"/>
      <c r="H139" s="516"/>
    </row>
    <row r="140" spans="3:8">
      <c r="C140" s="516"/>
      <c r="D140" s="516"/>
      <c r="E140" s="516"/>
      <c r="F140" s="516"/>
      <c r="G140" s="516"/>
      <c r="H140" s="516"/>
    </row>
    <row r="141" spans="3:8">
      <c r="C141" s="516"/>
      <c r="D141" s="516"/>
      <c r="E141" s="516"/>
      <c r="F141" s="516"/>
      <c r="G141" s="516"/>
      <c r="H141" s="516"/>
    </row>
    <row r="142" spans="3:8">
      <c r="C142" s="516"/>
      <c r="D142" s="516"/>
      <c r="E142" s="516"/>
      <c r="F142" s="516"/>
      <c r="G142" s="516"/>
      <c r="H142" s="516"/>
    </row>
    <row r="143" spans="3:8">
      <c r="C143" s="516"/>
      <c r="D143" s="516"/>
      <c r="E143" s="516"/>
      <c r="F143" s="516"/>
      <c r="G143" s="516"/>
      <c r="H143" s="516"/>
    </row>
    <row r="144" spans="3:8">
      <c r="C144" s="516"/>
      <c r="D144" s="516"/>
      <c r="E144" s="516"/>
      <c r="F144" s="516"/>
      <c r="G144" s="516"/>
      <c r="H144" s="516"/>
    </row>
    <row r="145" spans="3:8">
      <c r="C145" s="516"/>
      <c r="D145" s="516"/>
      <c r="E145" s="516"/>
      <c r="F145" s="516"/>
      <c r="G145" s="516"/>
      <c r="H145" s="516"/>
    </row>
    <row r="146" spans="3:8">
      <c r="C146" s="516"/>
      <c r="D146" s="516"/>
      <c r="E146" s="516"/>
      <c r="F146" s="516"/>
      <c r="G146" s="516"/>
      <c r="H146" s="516"/>
    </row>
    <row r="147" spans="3:8">
      <c r="C147" s="516"/>
      <c r="D147" s="516"/>
      <c r="E147" s="516"/>
      <c r="F147" s="516"/>
      <c r="G147" s="516"/>
      <c r="H147" s="516"/>
    </row>
    <row r="148" spans="3:8">
      <c r="C148" s="516"/>
      <c r="D148" s="516"/>
      <c r="E148" s="516"/>
      <c r="F148" s="516"/>
      <c r="G148" s="516"/>
      <c r="H148" s="516"/>
    </row>
    <row r="149" spans="3:8">
      <c r="C149" s="517"/>
      <c r="D149" s="517"/>
      <c r="E149" s="517"/>
      <c r="F149" s="517"/>
      <c r="G149" s="517"/>
      <c r="H149" s="517"/>
    </row>
    <row r="150" spans="3:8">
      <c r="C150" s="517"/>
      <c r="D150" s="517"/>
      <c r="E150" s="517"/>
      <c r="F150" s="517"/>
      <c r="G150" s="517"/>
      <c r="H150" s="517"/>
    </row>
    <row r="151" spans="3:8">
      <c r="C151" s="517"/>
      <c r="D151" s="517"/>
      <c r="E151" s="517"/>
      <c r="F151" s="517"/>
      <c r="G151" s="517"/>
      <c r="H151" s="517"/>
    </row>
    <row r="152" spans="3:8">
      <c r="C152" s="517"/>
      <c r="D152" s="517"/>
      <c r="E152" s="517"/>
      <c r="F152" s="517"/>
      <c r="G152" s="517"/>
      <c r="H152" s="517"/>
    </row>
    <row r="153" spans="3:8">
      <c r="C153" s="517"/>
      <c r="D153" s="517"/>
      <c r="E153" s="517"/>
      <c r="F153" s="517"/>
      <c r="G153" s="517"/>
      <c r="H153" s="517"/>
    </row>
    <row r="154" spans="3:8">
      <c r="C154" s="517"/>
      <c r="D154" s="517"/>
      <c r="E154" s="517"/>
      <c r="F154" s="517"/>
      <c r="G154" s="517"/>
      <c r="H154" s="517"/>
    </row>
    <row r="155" spans="3:8">
      <c r="C155" s="517"/>
      <c r="D155" s="517"/>
      <c r="E155" s="517"/>
      <c r="F155" s="517"/>
      <c r="G155" s="517"/>
      <c r="H155" s="517"/>
    </row>
  </sheetData>
  <dataValidations disablePrompts="1" count="1">
    <dataValidation type="list" allowBlank="1" showInputMessage="1" showErrorMessage="1" sqref="B3">
      <formula1>currencies</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50"/>
  <sheetViews>
    <sheetView showGridLines="0" zoomScale="90" zoomScaleNormal="90" workbookViewId="0"/>
  </sheetViews>
  <sheetFormatPr baseColWidth="10" defaultColWidth="8.88671875" defaultRowHeight="14.4"/>
  <cols>
    <col min="5" max="5" width="10.77734375" bestFit="1" customWidth="1"/>
  </cols>
  <sheetData>
    <row r="1" spans="1:21" s="315" customFormat="1" ht="24" customHeight="1">
      <c r="A1" s="314" t="str">
        <f>tool_name</f>
        <v>Assistive Product Provision Costing Tool v1</v>
      </c>
      <c r="J1" s="316"/>
      <c r="K1" s="317"/>
      <c r="L1" s="317"/>
    </row>
    <row r="2" spans="1:21" s="51" customFormat="1" ht="18">
      <c r="A2" s="989">
        <f>selected_country</f>
        <v>0</v>
      </c>
      <c r="J2" s="52"/>
      <c r="K2" s="53"/>
      <c r="L2" s="53"/>
    </row>
    <row r="3" spans="1:21" s="51" customFormat="1" ht="18">
      <c r="A3" s="989" t="s">
        <v>1477</v>
      </c>
      <c r="E3" s="990">
        <f>national_pop</f>
        <v>0</v>
      </c>
      <c r="J3" s="52"/>
      <c r="K3" s="53"/>
      <c r="L3" s="53"/>
    </row>
    <row r="7" spans="1:21" s="993" customFormat="1" ht="19.05" customHeight="1">
      <c r="B7" s="991" t="s">
        <v>1478</v>
      </c>
      <c r="C7" s="992"/>
      <c r="D7" s="992"/>
      <c r="E7" s="992"/>
      <c r="F7" s="992"/>
      <c r="G7" s="992"/>
      <c r="H7" s="992"/>
      <c r="I7" s="992"/>
      <c r="J7" s="992"/>
      <c r="M7" s="991" t="s">
        <v>1479</v>
      </c>
      <c r="N7" s="992"/>
      <c r="O7" s="992"/>
      <c r="P7" s="992"/>
      <c r="Q7" s="992"/>
      <c r="R7" s="992"/>
      <c r="S7" s="992"/>
      <c r="T7" s="992"/>
      <c r="U7" s="992"/>
    </row>
    <row r="28" spans="2:21" s="993" customFormat="1" ht="19.5" customHeight="1">
      <c r="B28" s="991" t="str">
        <f>"Program Costs, by Input, "&amp;currency_results&amp;""</f>
        <v>Program Costs, by Input, ZAR</v>
      </c>
      <c r="C28" s="992"/>
      <c r="D28" s="992"/>
      <c r="E28" s="992"/>
      <c r="F28" s="992"/>
      <c r="G28" s="992"/>
      <c r="H28" s="992"/>
      <c r="I28" s="992"/>
      <c r="J28" s="992"/>
      <c r="M28" s="991" t="str">
        <f>"Funding Commitments, by cost category, "&amp;currency_results&amp;""</f>
        <v>Funding Commitments, by cost category, ZAR</v>
      </c>
      <c r="N28" s="992"/>
      <c r="O28" s="992"/>
      <c r="P28" s="992"/>
      <c r="Q28" s="992"/>
      <c r="R28" s="992"/>
      <c r="S28" s="992"/>
      <c r="T28" s="992"/>
      <c r="U28" s="992"/>
    </row>
    <row r="50" spans="2:21" ht="18.45" customHeight="1">
      <c r="B50" s="991" t="str">
        <f>"Funding Commitments, by Source, "&amp;currency_results&amp;""</f>
        <v>Funding Commitments, by Source, ZAR</v>
      </c>
      <c r="C50" s="992"/>
      <c r="D50" s="992"/>
      <c r="E50" s="992"/>
      <c r="F50" s="992"/>
      <c r="G50" s="992"/>
      <c r="H50" s="992"/>
      <c r="I50" s="992"/>
      <c r="J50" s="992"/>
      <c r="M50" s="991" t="str">
        <f>"Funding Gap, by cost category, "&amp;currency_results&amp;""</f>
        <v>Funding Gap, by cost category, ZAR</v>
      </c>
      <c r="N50" s="992"/>
      <c r="O50" s="992"/>
      <c r="P50" s="992"/>
      <c r="Q50" s="992"/>
      <c r="R50" s="992"/>
      <c r="S50" s="992"/>
      <c r="T50" s="992"/>
      <c r="U50" s="992"/>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06"/>
  <sheetViews>
    <sheetView showGridLines="0" topLeftCell="A72" zoomScale="90" zoomScaleNormal="90" workbookViewId="0">
      <selection activeCell="I108" sqref="I108"/>
    </sheetView>
  </sheetViews>
  <sheetFormatPr baseColWidth="10" defaultColWidth="8.77734375" defaultRowHeight="14.4"/>
  <cols>
    <col min="1" max="1" width="6" style="3" customWidth="1"/>
    <col min="2" max="2" width="19.88671875" style="3" bestFit="1" customWidth="1"/>
    <col min="3" max="3" width="8.77734375" style="3"/>
    <col min="4" max="4" width="10.5546875" style="3" bestFit="1" customWidth="1"/>
    <col min="5" max="5" width="13.77734375" style="3" bestFit="1" customWidth="1"/>
    <col min="6" max="8" width="14.88671875" style="3" bestFit="1" customWidth="1"/>
    <col min="9" max="9" width="15.88671875" style="3" customWidth="1"/>
    <col min="10" max="10" width="10.21875" style="3" customWidth="1"/>
    <col min="11" max="11" width="10.6640625" style="3" customWidth="1"/>
    <col min="12" max="13" width="14.88671875" style="3" bestFit="1" customWidth="1"/>
    <col min="14" max="15" width="16.33203125" style="3" bestFit="1" customWidth="1"/>
    <col min="16" max="17" width="4.88671875" style="3" bestFit="1" customWidth="1"/>
    <col min="18" max="16384" width="8.77734375" style="3"/>
  </cols>
  <sheetData>
    <row r="1" spans="1:17" s="419" customFormat="1" ht="24" customHeight="1">
      <c r="A1" s="314" t="s">
        <v>1454</v>
      </c>
      <c r="K1" s="487"/>
      <c r="L1" s="488"/>
      <c r="M1" s="488"/>
    </row>
    <row r="2" spans="1:17" s="51" customFormat="1" ht="18">
      <c r="A2" s="50" t="s">
        <v>598</v>
      </c>
      <c r="K2" s="52"/>
      <c r="L2" s="53"/>
      <c r="M2" s="53"/>
    </row>
    <row r="3" spans="1:17" ht="15" thickBot="1"/>
    <row r="4" spans="1:17" ht="15" thickBot="1">
      <c r="E4" s="1082" t="s">
        <v>1422</v>
      </c>
      <c r="F4" s="1083"/>
      <c r="G4" s="1083"/>
      <c r="H4" s="1083"/>
      <c r="I4" s="1083"/>
      <c r="J4" s="1084"/>
      <c r="L4" s="1082" t="str">
        <f>"TOTAL COSTS ("&amp;currency_results&amp;")"</f>
        <v>TOTAL COSTS (ZAR)</v>
      </c>
      <c r="M4" s="1083"/>
      <c r="N4" s="1083"/>
      <c r="O4" s="1083"/>
      <c r="P4" s="1083"/>
      <c r="Q4" s="1084"/>
    </row>
    <row r="5" spans="1:17" ht="15" thickBot="1">
      <c r="B5" s="515" t="s">
        <v>1420</v>
      </c>
      <c r="C5" s="618"/>
      <c r="D5" s="619" t="s">
        <v>1421</v>
      </c>
      <c r="E5" s="624">
        <f>baseline_year</f>
        <v>0</v>
      </c>
      <c r="F5" s="625">
        <f>baseline_year+1</f>
        <v>1</v>
      </c>
      <c r="G5" s="625">
        <f>F5+1</f>
        <v>2</v>
      </c>
      <c r="H5" s="625">
        <f>G5+1</f>
        <v>3</v>
      </c>
      <c r="I5" s="625">
        <f>H5+1</f>
        <v>4</v>
      </c>
      <c r="J5" s="626">
        <f>I5+1</f>
        <v>5</v>
      </c>
      <c r="L5" s="624">
        <f>baseline_year</f>
        <v>0</v>
      </c>
      <c r="M5" s="625">
        <f>baseline_year+1</f>
        <v>1</v>
      </c>
      <c r="N5" s="625">
        <f>M5+1</f>
        <v>2</v>
      </c>
      <c r="O5" s="625">
        <f>N5+1</f>
        <v>3</v>
      </c>
      <c r="P5" s="625">
        <f>O5+1</f>
        <v>4</v>
      </c>
      <c r="Q5" s="626">
        <f>P5+1</f>
        <v>5</v>
      </c>
    </row>
    <row r="7" spans="1:17">
      <c r="A7" s="1">
        <v>1</v>
      </c>
      <c r="B7" s="627">
        <f>Assistive_Products_Costs!B11</f>
        <v>0</v>
      </c>
      <c r="C7" s="628"/>
      <c r="D7" s="628">
        <f>Assistive_Products_Costs!C11</f>
        <v>0</v>
      </c>
      <c r="E7" s="935">
        <f t="shared" ref="E7:E38" si="0">SUMIF(stg_list,$B7,stg_unit1)</f>
        <v>0</v>
      </c>
      <c r="F7" s="935">
        <f t="shared" ref="F7:F38" si="1">SUMIF(stg_list,$B7,stg_unit2)</f>
        <v>0</v>
      </c>
      <c r="G7" s="935">
        <f t="shared" ref="G7:G38" si="2">SUMIF(stg_list,$B7,stg_unit3)</f>
        <v>0</v>
      </c>
      <c r="H7" s="935">
        <f t="shared" ref="H7:H38" si="3">SUMIF(stg_list,$B7,stg_unit4)</f>
        <v>0</v>
      </c>
      <c r="I7" s="935">
        <f t="shared" ref="I7:I38" si="4">SUMIF(stg_list,$B7,stg_unit5)</f>
        <v>0</v>
      </c>
      <c r="J7" s="936">
        <f t="shared" ref="J7:J38" si="5">SUMIF(stg_list,$B7,stg_unit6)</f>
        <v>0</v>
      </c>
      <c r="K7" s="495"/>
      <c r="L7" s="937" t="b">
        <f t="shared" ref="L7:L38" si="6">IF(currency_calculation=1,SUMIF(stg_list,$B7,stg_cost1),IF(currency_calculation=2,(SUMIF(stg_list,$B7,stg_cost1))*exchange_rate,IF(currency_calculation=3,(SUMIF(stg_list,$B7,stg_cost1))/exchange_rate)))</f>
        <v>0</v>
      </c>
      <c r="M7" s="935" t="b">
        <f t="shared" ref="M7:M38" si="7">IF(currency_calculation=1,SUMIF(stg_list,$B7,stg_cost2),IF(currency_calculation=2,(SUMIF(stg_list,$B7,stg_cost2))*exchange_rate,IF(currency_calculation=3,(SUMIF(stg_list,$B7,stg_cost2))/exchange_rate)))</f>
        <v>0</v>
      </c>
      <c r="N7" s="935" t="b">
        <f t="shared" ref="N7:N38" si="8">IF(currency_calculation=1,SUMIF(stg_list,$B7,stg_cost3),IF(currency_calculation=2,(SUMIF(stg_list,$B7,stg_cost3))*exchange_rate,IF(currency_calculation=3,(SUMIF(stg_list,$B7,stg_cost3))/exchange_rate)))</f>
        <v>0</v>
      </c>
      <c r="O7" s="935" t="b">
        <f t="shared" ref="O7:O38" si="9">IF(currency_calculation=1,SUMIF(stg_list,$B7,stg_cost4),IF(currency_calculation=2,(SUMIF(stg_list,$B7,stg_cost4))*exchange_rate,IF(currency_calculation=3,(SUMIF(stg_list,$B7,stg_cost4))/exchange_rate)))</f>
        <v>0</v>
      </c>
      <c r="P7" s="935" t="b">
        <f t="shared" ref="P7:P38" si="10">IF(currency_calculation=1,SUMIF(stg_list,$B7,stg_cost5),IF(currency_calculation=2,(SUMIF(stg_list,$B7,stg_cost5))*exchange_rate,IF(currency_calculation=3,(SUMIF(stg_list,$B7,stg_cost5))/exchange_rate)))</f>
        <v>0</v>
      </c>
      <c r="Q7" s="936" t="b">
        <f t="shared" ref="Q7:Q38" si="11">IF(currency_calculation=1,SUMIF(stg_list,$B7,stg_cost6),IF(currency_calculation=2,(SUMIF(stg_list,$B7,stg_cost6))*exchange_rate,IF(currency_calculation=3,(SUMIF(stg_list,$B7,stg_cost6))/exchange_rate)))</f>
        <v>0</v>
      </c>
    </row>
    <row r="8" spans="1:17">
      <c r="A8" s="1">
        <v>2</v>
      </c>
      <c r="B8" s="629" t="s">
        <v>1476</v>
      </c>
      <c r="C8" s="2"/>
      <c r="D8" s="2">
        <f>Assistive_Products_Costs!C12</f>
        <v>0</v>
      </c>
      <c r="E8" s="938">
        <f t="shared" si="0"/>
        <v>0</v>
      </c>
      <c r="F8" s="938">
        <f t="shared" si="1"/>
        <v>0</v>
      </c>
      <c r="G8" s="938">
        <f t="shared" si="2"/>
        <v>0</v>
      </c>
      <c r="H8" s="938">
        <f t="shared" si="3"/>
        <v>0</v>
      </c>
      <c r="I8" s="938">
        <f t="shared" si="4"/>
        <v>0</v>
      </c>
      <c r="J8" s="939">
        <f t="shared" si="5"/>
        <v>0</v>
      </c>
      <c r="K8" s="495"/>
      <c r="L8" s="940" t="b">
        <f t="shared" si="6"/>
        <v>0</v>
      </c>
      <c r="M8" s="938" t="b">
        <f t="shared" si="7"/>
        <v>0</v>
      </c>
      <c r="N8" s="938" t="b">
        <f t="shared" si="8"/>
        <v>0</v>
      </c>
      <c r="O8" s="938" t="b">
        <f t="shared" si="9"/>
        <v>0</v>
      </c>
      <c r="P8" s="938" t="b">
        <f t="shared" si="10"/>
        <v>0</v>
      </c>
      <c r="Q8" s="939" t="b">
        <f t="shared" si="11"/>
        <v>0</v>
      </c>
    </row>
    <row r="9" spans="1:17">
      <c r="A9" s="1">
        <v>3</v>
      </c>
      <c r="B9" s="629">
        <f>Assistive_Products_Costs!B13</f>
        <v>0</v>
      </c>
      <c r="C9" s="2"/>
      <c r="D9" s="2">
        <f>Assistive_Products_Costs!C13</f>
        <v>0</v>
      </c>
      <c r="E9" s="938">
        <f t="shared" si="0"/>
        <v>0</v>
      </c>
      <c r="F9" s="938">
        <f t="shared" si="1"/>
        <v>0</v>
      </c>
      <c r="G9" s="938">
        <f t="shared" si="2"/>
        <v>0</v>
      </c>
      <c r="H9" s="938">
        <f t="shared" si="3"/>
        <v>0</v>
      </c>
      <c r="I9" s="938">
        <f t="shared" si="4"/>
        <v>0</v>
      </c>
      <c r="J9" s="939">
        <f t="shared" si="5"/>
        <v>0</v>
      </c>
      <c r="K9" s="495"/>
      <c r="L9" s="940" t="b">
        <f t="shared" si="6"/>
        <v>0</v>
      </c>
      <c r="M9" s="938" t="b">
        <f t="shared" si="7"/>
        <v>0</v>
      </c>
      <c r="N9" s="938" t="b">
        <f t="shared" si="8"/>
        <v>0</v>
      </c>
      <c r="O9" s="938" t="b">
        <f t="shared" si="9"/>
        <v>0</v>
      </c>
      <c r="P9" s="938" t="b">
        <f t="shared" si="10"/>
        <v>0</v>
      </c>
      <c r="Q9" s="939" t="b">
        <f t="shared" si="11"/>
        <v>0</v>
      </c>
    </row>
    <row r="10" spans="1:17">
      <c r="A10" s="1">
        <v>4</v>
      </c>
      <c r="B10" s="629">
        <f>Assistive_Products_Costs!B14</f>
        <v>0</v>
      </c>
      <c r="C10" s="2"/>
      <c r="D10" s="2">
        <f>Assistive_Products_Costs!C14</f>
        <v>0</v>
      </c>
      <c r="E10" s="938">
        <f t="shared" si="0"/>
        <v>0</v>
      </c>
      <c r="F10" s="938">
        <f t="shared" si="1"/>
        <v>0</v>
      </c>
      <c r="G10" s="938">
        <f t="shared" si="2"/>
        <v>0</v>
      </c>
      <c r="H10" s="938">
        <f t="shared" si="3"/>
        <v>0</v>
      </c>
      <c r="I10" s="938">
        <f t="shared" si="4"/>
        <v>0</v>
      </c>
      <c r="J10" s="939">
        <f t="shared" si="5"/>
        <v>0</v>
      </c>
      <c r="K10" s="495"/>
      <c r="L10" s="940" t="b">
        <f t="shared" si="6"/>
        <v>0</v>
      </c>
      <c r="M10" s="938" t="b">
        <f t="shared" si="7"/>
        <v>0</v>
      </c>
      <c r="N10" s="938" t="b">
        <f t="shared" si="8"/>
        <v>0</v>
      </c>
      <c r="O10" s="938" t="b">
        <f t="shared" si="9"/>
        <v>0</v>
      </c>
      <c r="P10" s="938" t="b">
        <f t="shared" si="10"/>
        <v>0</v>
      </c>
      <c r="Q10" s="939" t="b">
        <f t="shared" si="11"/>
        <v>0</v>
      </c>
    </row>
    <row r="11" spans="1:17">
      <c r="A11" s="1">
        <v>5</v>
      </c>
      <c r="B11" s="629">
        <f>Assistive_Products_Costs!B15</f>
        <v>0</v>
      </c>
      <c r="C11" s="2"/>
      <c r="D11" s="2">
        <f>Assistive_Products_Costs!C15</f>
        <v>0</v>
      </c>
      <c r="E11" s="938">
        <f t="shared" si="0"/>
        <v>0</v>
      </c>
      <c r="F11" s="938">
        <f t="shared" si="1"/>
        <v>0</v>
      </c>
      <c r="G11" s="938">
        <f t="shared" si="2"/>
        <v>0</v>
      </c>
      <c r="H11" s="938">
        <f t="shared" si="3"/>
        <v>0</v>
      </c>
      <c r="I11" s="938">
        <f t="shared" si="4"/>
        <v>0</v>
      </c>
      <c r="J11" s="939">
        <f t="shared" si="5"/>
        <v>0</v>
      </c>
      <c r="K11" s="495"/>
      <c r="L11" s="940" t="b">
        <f t="shared" si="6"/>
        <v>0</v>
      </c>
      <c r="M11" s="938" t="b">
        <f t="shared" si="7"/>
        <v>0</v>
      </c>
      <c r="N11" s="938" t="b">
        <f t="shared" si="8"/>
        <v>0</v>
      </c>
      <c r="O11" s="938" t="b">
        <f t="shared" si="9"/>
        <v>0</v>
      </c>
      <c r="P11" s="938" t="b">
        <f t="shared" si="10"/>
        <v>0</v>
      </c>
      <c r="Q11" s="939" t="b">
        <f t="shared" si="11"/>
        <v>0</v>
      </c>
    </row>
    <row r="12" spans="1:17">
      <c r="A12" s="1">
        <v>6</v>
      </c>
      <c r="B12" s="629">
        <f>Assistive_Products_Costs!B16</f>
        <v>0</v>
      </c>
      <c r="C12" s="2"/>
      <c r="D12" s="2">
        <f>Assistive_Products_Costs!C16</f>
        <v>0</v>
      </c>
      <c r="E12" s="938">
        <f t="shared" si="0"/>
        <v>0</v>
      </c>
      <c r="F12" s="938">
        <f t="shared" si="1"/>
        <v>0</v>
      </c>
      <c r="G12" s="938">
        <f t="shared" si="2"/>
        <v>0</v>
      </c>
      <c r="H12" s="938">
        <f t="shared" si="3"/>
        <v>0</v>
      </c>
      <c r="I12" s="938">
        <f t="shared" si="4"/>
        <v>0</v>
      </c>
      <c r="J12" s="939">
        <f t="shared" si="5"/>
        <v>0</v>
      </c>
      <c r="K12" s="495"/>
      <c r="L12" s="940" t="b">
        <f t="shared" si="6"/>
        <v>0</v>
      </c>
      <c r="M12" s="938" t="b">
        <f t="shared" si="7"/>
        <v>0</v>
      </c>
      <c r="N12" s="938" t="b">
        <f t="shared" si="8"/>
        <v>0</v>
      </c>
      <c r="O12" s="938" t="b">
        <f t="shared" si="9"/>
        <v>0</v>
      </c>
      <c r="P12" s="938" t="b">
        <f t="shared" si="10"/>
        <v>0</v>
      </c>
      <c r="Q12" s="939" t="b">
        <f t="shared" si="11"/>
        <v>0</v>
      </c>
    </row>
    <row r="13" spans="1:17">
      <c r="A13" s="1">
        <v>7</v>
      </c>
      <c r="B13" s="629">
        <f>Assistive_Products_Costs!B17</f>
        <v>0</v>
      </c>
      <c r="C13" s="2"/>
      <c r="D13" s="2">
        <f>Assistive_Products_Costs!C17</f>
        <v>0</v>
      </c>
      <c r="E13" s="938">
        <f t="shared" si="0"/>
        <v>0</v>
      </c>
      <c r="F13" s="938">
        <f t="shared" si="1"/>
        <v>0</v>
      </c>
      <c r="G13" s="938">
        <f t="shared" si="2"/>
        <v>0</v>
      </c>
      <c r="H13" s="938">
        <f t="shared" si="3"/>
        <v>0</v>
      </c>
      <c r="I13" s="938">
        <f t="shared" si="4"/>
        <v>0</v>
      </c>
      <c r="J13" s="939">
        <f t="shared" si="5"/>
        <v>0</v>
      </c>
      <c r="K13" s="495"/>
      <c r="L13" s="940" t="b">
        <f t="shared" si="6"/>
        <v>0</v>
      </c>
      <c r="M13" s="938" t="b">
        <f t="shared" si="7"/>
        <v>0</v>
      </c>
      <c r="N13" s="938" t="b">
        <f t="shared" si="8"/>
        <v>0</v>
      </c>
      <c r="O13" s="938" t="b">
        <f t="shared" si="9"/>
        <v>0</v>
      </c>
      <c r="P13" s="938" t="b">
        <f t="shared" si="10"/>
        <v>0</v>
      </c>
      <c r="Q13" s="939" t="b">
        <f t="shared" si="11"/>
        <v>0</v>
      </c>
    </row>
    <row r="14" spans="1:17">
      <c r="A14" s="1">
        <v>8</v>
      </c>
      <c r="B14" s="629">
        <f>Assistive_Products_Costs!B18</f>
        <v>0</v>
      </c>
      <c r="C14" s="2"/>
      <c r="D14" s="2">
        <f>Assistive_Products_Costs!C18</f>
        <v>0</v>
      </c>
      <c r="E14" s="938">
        <f t="shared" si="0"/>
        <v>0</v>
      </c>
      <c r="F14" s="938">
        <f t="shared" si="1"/>
        <v>0</v>
      </c>
      <c r="G14" s="938">
        <f t="shared" si="2"/>
        <v>0</v>
      </c>
      <c r="H14" s="938">
        <f t="shared" si="3"/>
        <v>0</v>
      </c>
      <c r="I14" s="938">
        <f t="shared" si="4"/>
        <v>0</v>
      </c>
      <c r="J14" s="939">
        <f t="shared" si="5"/>
        <v>0</v>
      </c>
      <c r="K14" s="495"/>
      <c r="L14" s="940" t="b">
        <f t="shared" si="6"/>
        <v>0</v>
      </c>
      <c r="M14" s="938" t="b">
        <f t="shared" si="7"/>
        <v>0</v>
      </c>
      <c r="N14" s="938" t="b">
        <f t="shared" si="8"/>
        <v>0</v>
      </c>
      <c r="O14" s="938" t="b">
        <f t="shared" si="9"/>
        <v>0</v>
      </c>
      <c r="P14" s="938" t="b">
        <f t="shared" si="10"/>
        <v>0</v>
      </c>
      <c r="Q14" s="939" t="b">
        <f t="shared" si="11"/>
        <v>0</v>
      </c>
    </row>
    <row r="15" spans="1:17">
      <c r="A15" s="1">
        <v>9</v>
      </c>
      <c r="B15" s="629">
        <f>Assistive_Products_Costs!B19</f>
        <v>0</v>
      </c>
      <c r="C15" s="2"/>
      <c r="D15" s="2">
        <f>Assistive_Products_Costs!C19</f>
        <v>0</v>
      </c>
      <c r="E15" s="938">
        <f t="shared" si="0"/>
        <v>0</v>
      </c>
      <c r="F15" s="938">
        <f t="shared" si="1"/>
        <v>0</v>
      </c>
      <c r="G15" s="938">
        <f t="shared" si="2"/>
        <v>0</v>
      </c>
      <c r="H15" s="938">
        <f t="shared" si="3"/>
        <v>0</v>
      </c>
      <c r="I15" s="938">
        <f t="shared" si="4"/>
        <v>0</v>
      </c>
      <c r="J15" s="939">
        <f t="shared" si="5"/>
        <v>0</v>
      </c>
      <c r="K15" s="495"/>
      <c r="L15" s="940" t="b">
        <f t="shared" si="6"/>
        <v>0</v>
      </c>
      <c r="M15" s="938" t="b">
        <f t="shared" si="7"/>
        <v>0</v>
      </c>
      <c r="N15" s="938" t="b">
        <f t="shared" si="8"/>
        <v>0</v>
      </c>
      <c r="O15" s="938" t="b">
        <f t="shared" si="9"/>
        <v>0</v>
      </c>
      <c r="P15" s="938" t="b">
        <f t="shared" si="10"/>
        <v>0</v>
      </c>
      <c r="Q15" s="939" t="b">
        <f t="shared" si="11"/>
        <v>0</v>
      </c>
    </row>
    <row r="16" spans="1:17">
      <c r="A16" s="1">
        <v>10</v>
      </c>
      <c r="B16" s="629">
        <f>Assistive_Products_Costs!B20</f>
        <v>0</v>
      </c>
      <c r="C16" s="2"/>
      <c r="D16" s="2">
        <f>Assistive_Products_Costs!C20</f>
        <v>0</v>
      </c>
      <c r="E16" s="938">
        <f t="shared" si="0"/>
        <v>0</v>
      </c>
      <c r="F16" s="938">
        <f t="shared" si="1"/>
        <v>0</v>
      </c>
      <c r="G16" s="938">
        <f t="shared" si="2"/>
        <v>0</v>
      </c>
      <c r="H16" s="938">
        <f t="shared" si="3"/>
        <v>0</v>
      </c>
      <c r="I16" s="938">
        <f t="shared" si="4"/>
        <v>0</v>
      </c>
      <c r="J16" s="939">
        <f t="shared" si="5"/>
        <v>0</v>
      </c>
      <c r="K16" s="495"/>
      <c r="L16" s="940" t="b">
        <f t="shared" si="6"/>
        <v>0</v>
      </c>
      <c r="M16" s="938" t="b">
        <f t="shared" si="7"/>
        <v>0</v>
      </c>
      <c r="N16" s="938" t="b">
        <f t="shared" si="8"/>
        <v>0</v>
      </c>
      <c r="O16" s="938" t="b">
        <f t="shared" si="9"/>
        <v>0</v>
      </c>
      <c r="P16" s="938" t="b">
        <f t="shared" si="10"/>
        <v>0</v>
      </c>
      <c r="Q16" s="939" t="b">
        <f t="shared" si="11"/>
        <v>0</v>
      </c>
    </row>
    <row r="17" spans="1:17">
      <c r="A17" s="1">
        <v>11</v>
      </c>
      <c r="B17" s="629">
        <f>Assistive_Products_Costs!B21</f>
        <v>0</v>
      </c>
      <c r="C17" s="2"/>
      <c r="D17" s="2">
        <f>Assistive_Products_Costs!C21</f>
        <v>0</v>
      </c>
      <c r="E17" s="938">
        <f t="shared" si="0"/>
        <v>0</v>
      </c>
      <c r="F17" s="938">
        <f t="shared" si="1"/>
        <v>0</v>
      </c>
      <c r="G17" s="938">
        <f t="shared" si="2"/>
        <v>0</v>
      </c>
      <c r="H17" s="938">
        <f t="shared" si="3"/>
        <v>0</v>
      </c>
      <c r="I17" s="938">
        <f t="shared" si="4"/>
        <v>0</v>
      </c>
      <c r="J17" s="939">
        <f t="shared" si="5"/>
        <v>0</v>
      </c>
      <c r="K17" s="495"/>
      <c r="L17" s="940" t="b">
        <f t="shared" si="6"/>
        <v>0</v>
      </c>
      <c r="M17" s="938" t="b">
        <f t="shared" si="7"/>
        <v>0</v>
      </c>
      <c r="N17" s="938" t="b">
        <f t="shared" si="8"/>
        <v>0</v>
      </c>
      <c r="O17" s="938" t="b">
        <f t="shared" si="9"/>
        <v>0</v>
      </c>
      <c r="P17" s="938" t="b">
        <f t="shared" si="10"/>
        <v>0</v>
      </c>
      <c r="Q17" s="939" t="b">
        <f t="shared" si="11"/>
        <v>0</v>
      </c>
    </row>
    <row r="18" spans="1:17">
      <c r="A18" s="1">
        <v>12</v>
      </c>
      <c r="B18" s="629">
        <f>Assistive_Products_Costs!B22</f>
        <v>0</v>
      </c>
      <c r="C18" s="2"/>
      <c r="D18" s="2">
        <f>Assistive_Products_Costs!C22</f>
        <v>0</v>
      </c>
      <c r="E18" s="938">
        <f t="shared" si="0"/>
        <v>0</v>
      </c>
      <c r="F18" s="938">
        <f t="shared" si="1"/>
        <v>0</v>
      </c>
      <c r="G18" s="938">
        <f t="shared" si="2"/>
        <v>0</v>
      </c>
      <c r="H18" s="938">
        <f t="shared" si="3"/>
        <v>0</v>
      </c>
      <c r="I18" s="938">
        <f t="shared" si="4"/>
        <v>0</v>
      </c>
      <c r="J18" s="939">
        <f t="shared" si="5"/>
        <v>0</v>
      </c>
      <c r="K18" s="495"/>
      <c r="L18" s="940" t="b">
        <f t="shared" si="6"/>
        <v>0</v>
      </c>
      <c r="M18" s="938" t="b">
        <f t="shared" si="7"/>
        <v>0</v>
      </c>
      <c r="N18" s="938" t="b">
        <f t="shared" si="8"/>
        <v>0</v>
      </c>
      <c r="O18" s="938" t="b">
        <f t="shared" si="9"/>
        <v>0</v>
      </c>
      <c r="P18" s="938" t="b">
        <f t="shared" si="10"/>
        <v>0</v>
      </c>
      <c r="Q18" s="939" t="b">
        <f t="shared" si="11"/>
        <v>0</v>
      </c>
    </row>
    <row r="19" spans="1:17">
      <c r="A19" s="1">
        <v>13</v>
      </c>
      <c r="B19" s="629">
        <f>Assistive_Products_Costs!B23</f>
        <v>0</v>
      </c>
      <c r="C19" s="2"/>
      <c r="D19" s="2">
        <f>Assistive_Products_Costs!C23</f>
        <v>0</v>
      </c>
      <c r="E19" s="938">
        <f t="shared" si="0"/>
        <v>0</v>
      </c>
      <c r="F19" s="938">
        <f t="shared" si="1"/>
        <v>0</v>
      </c>
      <c r="G19" s="938">
        <f t="shared" si="2"/>
        <v>0</v>
      </c>
      <c r="H19" s="938">
        <f t="shared" si="3"/>
        <v>0</v>
      </c>
      <c r="I19" s="938">
        <f t="shared" si="4"/>
        <v>0</v>
      </c>
      <c r="J19" s="939">
        <f t="shared" si="5"/>
        <v>0</v>
      </c>
      <c r="K19" s="495"/>
      <c r="L19" s="940" t="b">
        <f t="shared" si="6"/>
        <v>0</v>
      </c>
      <c r="M19" s="938" t="b">
        <f t="shared" si="7"/>
        <v>0</v>
      </c>
      <c r="N19" s="938" t="b">
        <f t="shared" si="8"/>
        <v>0</v>
      </c>
      <c r="O19" s="938" t="b">
        <f t="shared" si="9"/>
        <v>0</v>
      </c>
      <c r="P19" s="938" t="b">
        <f t="shared" si="10"/>
        <v>0</v>
      </c>
      <c r="Q19" s="939" t="b">
        <f t="shared" si="11"/>
        <v>0</v>
      </c>
    </row>
    <row r="20" spans="1:17">
      <c r="A20" s="1">
        <v>14</v>
      </c>
      <c r="B20" s="629">
        <f>Assistive_Products_Costs!B24</f>
        <v>0</v>
      </c>
      <c r="C20" s="2"/>
      <c r="D20" s="2">
        <f>Assistive_Products_Costs!C24</f>
        <v>0</v>
      </c>
      <c r="E20" s="938">
        <f t="shared" si="0"/>
        <v>0</v>
      </c>
      <c r="F20" s="938">
        <f t="shared" si="1"/>
        <v>0</v>
      </c>
      <c r="G20" s="938">
        <f t="shared" si="2"/>
        <v>0</v>
      </c>
      <c r="H20" s="938">
        <f t="shared" si="3"/>
        <v>0</v>
      </c>
      <c r="I20" s="938">
        <f t="shared" si="4"/>
        <v>0</v>
      </c>
      <c r="J20" s="939">
        <f t="shared" si="5"/>
        <v>0</v>
      </c>
      <c r="K20" s="495"/>
      <c r="L20" s="940" t="b">
        <f t="shared" si="6"/>
        <v>0</v>
      </c>
      <c r="M20" s="938" t="b">
        <f t="shared" si="7"/>
        <v>0</v>
      </c>
      <c r="N20" s="938" t="b">
        <f t="shared" si="8"/>
        <v>0</v>
      </c>
      <c r="O20" s="938" t="b">
        <f t="shared" si="9"/>
        <v>0</v>
      </c>
      <c r="P20" s="938" t="b">
        <f t="shared" si="10"/>
        <v>0</v>
      </c>
      <c r="Q20" s="939" t="b">
        <f t="shared" si="11"/>
        <v>0</v>
      </c>
    </row>
    <row r="21" spans="1:17">
      <c r="A21" s="1">
        <v>15</v>
      </c>
      <c r="B21" s="629">
        <f>Assistive_Products_Costs!B25</f>
        <v>0</v>
      </c>
      <c r="C21" s="2"/>
      <c r="D21" s="2">
        <f>Assistive_Products_Costs!C25</f>
        <v>0</v>
      </c>
      <c r="E21" s="938">
        <f t="shared" si="0"/>
        <v>0</v>
      </c>
      <c r="F21" s="938">
        <f t="shared" si="1"/>
        <v>0</v>
      </c>
      <c r="G21" s="938">
        <f t="shared" si="2"/>
        <v>0</v>
      </c>
      <c r="H21" s="938">
        <f t="shared" si="3"/>
        <v>0</v>
      </c>
      <c r="I21" s="938">
        <f t="shared" si="4"/>
        <v>0</v>
      </c>
      <c r="J21" s="939">
        <f t="shared" si="5"/>
        <v>0</v>
      </c>
      <c r="K21" s="495"/>
      <c r="L21" s="940" t="b">
        <f t="shared" si="6"/>
        <v>0</v>
      </c>
      <c r="M21" s="938" t="b">
        <f t="shared" si="7"/>
        <v>0</v>
      </c>
      <c r="N21" s="938" t="b">
        <f t="shared" si="8"/>
        <v>0</v>
      </c>
      <c r="O21" s="938" t="b">
        <f t="shared" si="9"/>
        <v>0</v>
      </c>
      <c r="P21" s="938" t="b">
        <f t="shared" si="10"/>
        <v>0</v>
      </c>
      <c r="Q21" s="939" t="b">
        <f t="shared" si="11"/>
        <v>0</v>
      </c>
    </row>
    <row r="22" spans="1:17">
      <c r="A22" s="1">
        <v>16</v>
      </c>
      <c r="B22" s="629">
        <f>Assistive_Products_Costs!B26</f>
        <v>0</v>
      </c>
      <c r="C22" s="2"/>
      <c r="D22" s="2">
        <f>Assistive_Products_Costs!C26</f>
        <v>0</v>
      </c>
      <c r="E22" s="938">
        <f t="shared" si="0"/>
        <v>0</v>
      </c>
      <c r="F22" s="938">
        <f t="shared" si="1"/>
        <v>0</v>
      </c>
      <c r="G22" s="938">
        <f t="shared" si="2"/>
        <v>0</v>
      </c>
      <c r="H22" s="938">
        <f t="shared" si="3"/>
        <v>0</v>
      </c>
      <c r="I22" s="938">
        <f t="shared" si="4"/>
        <v>0</v>
      </c>
      <c r="J22" s="939">
        <f t="shared" si="5"/>
        <v>0</v>
      </c>
      <c r="K22" s="495"/>
      <c r="L22" s="940" t="b">
        <f t="shared" si="6"/>
        <v>0</v>
      </c>
      <c r="M22" s="938" t="b">
        <f t="shared" si="7"/>
        <v>0</v>
      </c>
      <c r="N22" s="938" t="b">
        <f t="shared" si="8"/>
        <v>0</v>
      </c>
      <c r="O22" s="938" t="b">
        <f t="shared" si="9"/>
        <v>0</v>
      </c>
      <c r="P22" s="938" t="b">
        <f t="shared" si="10"/>
        <v>0</v>
      </c>
      <c r="Q22" s="939" t="b">
        <f t="shared" si="11"/>
        <v>0</v>
      </c>
    </row>
    <row r="23" spans="1:17">
      <c r="A23" s="1">
        <v>17</v>
      </c>
      <c r="B23" s="629">
        <f>Assistive_Products_Costs!B27</f>
        <v>0</v>
      </c>
      <c r="C23" s="2"/>
      <c r="D23" s="2">
        <f>Assistive_Products_Costs!C27</f>
        <v>0</v>
      </c>
      <c r="E23" s="938">
        <f t="shared" si="0"/>
        <v>0</v>
      </c>
      <c r="F23" s="938">
        <f t="shared" si="1"/>
        <v>0</v>
      </c>
      <c r="G23" s="938">
        <f t="shared" si="2"/>
        <v>0</v>
      </c>
      <c r="H23" s="938">
        <f t="shared" si="3"/>
        <v>0</v>
      </c>
      <c r="I23" s="938">
        <f t="shared" si="4"/>
        <v>0</v>
      </c>
      <c r="J23" s="939">
        <f t="shared" si="5"/>
        <v>0</v>
      </c>
      <c r="K23" s="495"/>
      <c r="L23" s="940" t="b">
        <f t="shared" si="6"/>
        <v>0</v>
      </c>
      <c r="M23" s="938" t="b">
        <f t="shared" si="7"/>
        <v>0</v>
      </c>
      <c r="N23" s="938" t="b">
        <f t="shared" si="8"/>
        <v>0</v>
      </c>
      <c r="O23" s="938" t="b">
        <f t="shared" si="9"/>
        <v>0</v>
      </c>
      <c r="P23" s="938" t="b">
        <f t="shared" si="10"/>
        <v>0</v>
      </c>
      <c r="Q23" s="939" t="b">
        <f t="shared" si="11"/>
        <v>0</v>
      </c>
    </row>
    <row r="24" spans="1:17">
      <c r="A24" s="1">
        <v>18</v>
      </c>
      <c r="B24" s="629">
        <f>Assistive_Products_Costs!B28</f>
        <v>0</v>
      </c>
      <c r="C24" s="2"/>
      <c r="D24" s="2">
        <f>Assistive_Products_Costs!C28</f>
        <v>0</v>
      </c>
      <c r="E24" s="938">
        <f t="shared" si="0"/>
        <v>0</v>
      </c>
      <c r="F24" s="938">
        <f t="shared" si="1"/>
        <v>0</v>
      </c>
      <c r="G24" s="938">
        <f t="shared" si="2"/>
        <v>0</v>
      </c>
      <c r="H24" s="938">
        <f t="shared" si="3"/>
        <v>0</v>
      </c>
      <c r="I24" s="938">
        <f t="shared" si="4"/>
        <v>0</v>
      </c>
      <c r="J24" s="939">
        <f t="shared" si="5"/>
        <v>0</v>
      </c>
      <c r="K24" s="495"/>
      <c r="L24" s="940" t="b">
        <f t="shared" si="6"/>
        <v>0</v>
      </c>
      <c r="M24" s="938" t="b">
        <f t="shared" si="7"/>
        <v>0</v>
      </c>
      <c r="N24" s="938" t="b">
        <f t="shared" si="8"/>
        <v>0</v>
      </c>
      <c r="O24" s="938" t="b">
        <f t="shared" si="9"/>
        <v>0</v>
      </c>
      <c r="P24" s="938" t="b">
        <f t="shared" si="10"/>
        <v>0</v>
      </c>
      <c r="Q24" s="939" t="b">
        <f t="shared" si="11"/>
        <v>0</v>
      </c>
    </row>
    <row r="25" spans="1:17">
      <c r="A25" s="1">
        <v>19</v>
      </c>
      <c r="B25" s="629">
        <f>Assistive_Products_Costs!B29</f>
        <v>0</v>
      </c>
      <c r="C25" s="2"/>
      <c r="D25" s="2">
        <f>Assistive_Products_Costs!C29</f>
        <v>0</v>
      </c>
      <c r="E25" s="938">
        <f t="shared" si="0"/>
        <v>0</v>
      </c>
      <c r="F25" s="938">
        <f t="shared" si="1"/>
        <v>0</v>
      </c>
      <c r="G25" s="938">
        <f t="shared" si="2"/>
        <v>0</v>
      </c>
      <c r="H25" s="938">
        <f t="shared" si="3"/>
        <v>0</v>
      </c>
      <c r="I25" s="938">
        <f t="shared" si="4"/>
        <v>0</v>
      </c>
      <c r="J25" s="939">
        <f t="shared" si="5"/>
        <v>0</v>
      </c>
      <c r="K25" s="495"/>
      <c r="L25" s="940" t="b">
        <f t="shared" si="6"/>
        <v>0</v>
      </c>
      <c r="M25" s="938" t="b">
        <f t="shared" si="7"/>
        <v>0</v>
      </c>
      <c r="N25" s="938" t="b">
        <f t="shared" si="8"/>
        <v>0</v>
      </c>
      <c r="O25" s="938" t="b">
        <f t="shared" si="9"/>
        <v>0</v>
      </c>
      <c r="P25" s="938" t="b">
        <f t="shared" si="10"/>
        <v>0</v>
      </c>
      <c r="Q25" s="939" t="b">
        <f t="shared" si="11"/>
        <v>0</v>
      </c>
    </row>
    <row r="26" spans="1:17">
      <c r="A26" s="1">
        <v>20</v>
      </c>
      <c r="B26" s="629">
        <f>Assistive_Products_Costs!B30</f>
        <v>0</v>
      </c>
      <c r="C26" s="2"/>
      <c r="D26" s="2">
        <f>Assistive_Products_Costs!C30</f>
        <v>0</v>
      </c>
      <c r="E26" s="938">
        <f t="shared" si="0"/>
        <v>0</v>
      </c>
      <c r="F26" s="938">
        <f t="shared" si="1"/>
        <v>0</v>
      </c>
      <c r="G26" s="938">
        <f t="shared" si="2"/>
        <v>0</v>
      </c>
      <c r="H26" s="938">
        <f t="shared" si="3"/>
        <v>0</v>
      </c>
      <c r="I26" s="938">
        <f t="shared" si="4"/>
        <v>0</v>
      </c>
      <c r="J26" s="939">
        <f t="shared" si="5"/>
        <v>0</v>
      </c>
      <c r="K26" s="495"/>
      <c r="L26" s="940" t="b">
        <f t="shared" si="6"/>
        <v>0</v>
      </c>
      <c r="M26" s="938" t="b">
        <f t="shared" si="7"/>
        <v>0</v>
      </c>
      <c r="N26" s="938" t="b">
        <f t="shared" si="8"/>
        <v>0</v>
      </c>
      <c r="O26" s="938" t="b">
        <f t="shared" si="9"/>
        <v>0</v>
      </c>
      <c r="P26" s="938" t="b">
        <f t="shared" si="10"/>
        <v>0</v>
      </c>
      <c r="Q26" s="939" t="b">
        <f t="shared" si="11"/>
        <v>0</v>
      </c>
    </row>
    <row r="27" spans="1:17">
      <c r="A27" s="1">
        <v>21</v>
      </c>
      <c r="B27" s="629">
        <f>Assistive_Products_Costs!B31</f>
        <v>0</v>
      </c>
      <c r="C27" s="2"/>
      <c r="D27" s="2">
        <f>Assistive_Products_Costs!C31</f>
        <v>0</v>
      </c>
      <c r="E27" s="938">
        <f t="shared" si="0"/>
        <v>0</v>
      </c>
      <c r="F27" s="938">
        <f t="shared" si="1"/>
        <v>0</v>
      </c>
      <c r="G27" s="938">
        <f t="shared" si="2"/>
        <v>0</v>
      </c>
      <c r="H27" s="938">
        <f t="shared" si="3"/>
        <v>0</v>
      </c>
      <c r="I27" s="938">
        <f t="shared" si="4"/>
        <v>0</v>
      </c>
      <c r="J27" s="939">
        <f t="shared" si="5"/>
        <v>0</v>
      </c>
      <c r="K27" s="495"/>
      <c r="L27" s="940" t="b">
        <f t="shared" si="6"/>
        <v>0</v>
      </c>
      <c r="M27" s="938" t="b">
        <f t="shared" si="7"/>
        <v>0</v>
      </c>
      <c r="N27" s="938" t="b">
        <f t="shared" si="8"/>
        <v>0</v>
      </c>
      <c r="O27" s="938" t="b">
        <f t="shared" si="9"/>
        <v>0</v>
      </c>
      <c r="P27" s="938" t="b">
        <f t="shared" si="10"/>
        <v>0</v>
      </c>
      <c r="Q27" s="939" t="b">
        <f t="shared" si="11"/>
        <v>0</v>
      </c>
    </row>
    <row r="28" spans="1:17">
      <c r="A28" s="1">
        <v>22</v>
      </c>
      <c r="B28" s="629">
        <f>Assistive_Products_Costs!B32</f>
        <v>0</v>
      </c>
      <c r="C28" s="2"/>
      <c r="D28" s="2">
        <f>Assistive_Products_Costs!C32</f>
        <v>0</v>
      </c>
      <c r="E28" s="938">
        <f t="shared" si="0"/>
        <v>0</v>
      </c>
      <c r="F28" s="938">
        <f t="shared" si="1"/>
        <v>0</v>
      </c>
      <c r="G28" s="938">
        <f t="shared" si="2"/>
        <v>0</v>
      </c>
      <c r="H28" s="938">
        <f t="shared" si="3"/>
        <v>0</v>
      </c>
      <c r="I28" s="938">
        <f t="shared" si="4"/>
        <v>0</v>
      </c>
      <c r="J28" s="939">
        <f t="shared" si="5"/>
        <v>0</v>
      </c>
      <c r="K28" s="495"/>
      <c r="L28" s="940" t="b">
        <f t="shared" si="6"/>
        <v>0</v>
      </c>
      <c r="M28" s="938" t="b">
        <f t="shared" si="7"/>
        <v>0</v>
      </c>
      <c r="N28" s="938" t="b">
        <f t="shared" si="8"/>
        <v>0</v>
      </c>
      <c r="O28" s="938" t="b">
        <f t="shared" si="9"/>
        <v>0</v>
      </c>
      <c r="P28" s="938" t="b">
        <f t="shared" si="10"/>
        <v>0</v>
      </c>
      <c r="Q28" s="939" t="b">
        <f t="shared" si="11"/>
        <v>0</v>
      </c>
    </row>
    <row r="29" spans="1:17">
      <c r="A29" s="1">
        <v>23</v>
      </c>
      <c r="B29" s="629">
        <f>Assistive_Products_Costs!B33</f>
        <v>0</v>
      </c>
      <c r="C29" s="2"/>
      <c r="D29" s="2">
        <f>Assistive_Products_Costs!C33</f>
        <v>0</v>
      </c>
      <c r="E29" s="938">
        <f t="shared" si="0"/>
        <v>0</v>
      </c>
      <c r="F29" s="938">
        <f t="shared" si="1"/>
        <v>0</v>
      </c>
      <c r="G29" s="938">
        <f t="shared" si="2"/>
        <v>0</v>
      </c>
      <c r="H29" s="938">
        <f t="shared" si="3"/>
        <v>0</v>
      </c>
      <c r="I29" s="938">
        <f t="shared" si="4"/>
        <v>0</v>
      </c>
      <c r="J29" s="939">
        <f t="shared" si="5"/>
        <v>0</v>
      </c>
      <c r="K29" s="495"/>
      <c r="L29" s="940" t="b">
        <f t="shared" si="6"/>
        <v>0</v>
      </c>
      <c r="M29" s="938" t="b">
        <f t="shared" si="7"/>
        <v>0</v>
      </c>
      <c r="N29" s="938" t="b">
        <f t="shared" si="8"/>
        <v>0</v>
      </c>
      <c r="O29" s="938" t="b">
        <f t="shared" si="9"/>
        <v>0</v>
      </c>
      <c r="P29" s="938" t="b">
        <f t="shared" si="10"/>
        <v>0</v>
      </c>
      <c r="Q29" s="939" t="b">
        <f t="shared" si="11"/>
        <v>0</v>
      </c>
    </row>
    <row r="30" spans="1:17">
      <c r="A30" s="1">
        <v>24</v>
      </c>
      <c r="B30" s="629">
        <f>Assistive_Products_Costs!B34</f>
        <v>0</v>
      </c>
      <c r="C30" s="2"/>
      <c r="D30" s="2">
        <f>Assistive_Products_Costs!C34</f>
        <v>0</v>
      </c>
      <c r="E30" s="938">
        <f t="shared" si="0"/>
        <v>0</v>
      </c>
      <c r="F30" s="938">
        <f t="shared" si="1"/>
        <v>0</v>
      </c>
      <c r="G30" s="938">
        <f t="shared" si="2"/>
        <v>0</v>
      </c>
      <c r="H30" s="938">
        <f t="shared" si="3"/>
        <v>0</v>
      </c>
      <c r="I30" s="938">
        <f t="shared" si="4"/>
        <v>0</v>
      </c>
      <c r="J30" s="939">
        <f t="shared" si="5"/>
        <v>0</v>
      </c>
      <c r="K30" s="495"/>
      <c r="L30" s="940" t="b">
        <f t="shared" si="6"/>
        <v>0</v>
      </c>
      <c r="M30" s="938" t="b">
        <f t="shared" si="7"/>
        <v>0</v>
      </c>
      <c r="N30" s="938" t="b">
        <f t="shared" si="8"/>
        <v>0</v>
      </c>
      <c r="O30" s="938" t="b">
        <f t="shared" si="9"/>
        <v>0</v>
      </c>
      <c r="P30" s="938" t="b">
        <f t="shared" si="10"/>
        <v>0</v>
      </c>
      <c r="Q30" s="939" t="b">
        <f t="shared" si="11"/>
        <v>0</v>
      </c>
    </row>
    <row r="31" spans="1:17">
      <c r="A31" s="1">
        <v>25</v>
      </c>
      <c r="B31" s="629">
        <f>Assistive_Products_Costs!B35</f>
        <v>0</v>
      </c>
      <c r="C31" s="2"/>
      <c r="D31" s="2">
        <f>Assistive_Products_Costs!C35</f>
        <v>0</v>
      </c>
      <c r="E31" s="938">
        <f t="shared" si="0"/>
        <v>0</v>
      </c>
      <c r="F31" s="938">
        <f t="shared" si="1"/>
        <v>0</v>
      </c>
      <c r="G31" s="938">
        <f t="shared" si="2"/>
        <v>0</v>
      </c>
      <c r="H31" s="938">
        <f t="shared" si="3"/>
        <v>0</v>
      </c>
      <c r="I31" s="938">
        <f t="shared" si="4"/>
        <v>0</v>
      </c>
      <c r="J31" s="939">
        <f t="shared" si="5"/>
        <v>0</v>
      </c>
      <c r="K31" s="495"/>
      <c r="L31" s="940" t="b">
        <f t="shared" si="6"/>
        <v>0</v>
      </c>
      <c r="M31" s="938" t="b">
        <f t="shared" si="7"/>
        <v>0</v>
      </c>
      <c r="N31" s="938" t="b">
        <f t="shared" si="8"/>
        <v>0</v>
      </c>
      <c r="O31" s="938" t="b">
        <f t="shared" si="9"/>
        <v>0</v>
      </c>
      <c r="P31" s="938" t="b">
        <f t="shared" si="10"/>
        <v>0</v>
      </c>
      <c r="Q31" s="939" t="b">
        <f t="shared" si="11"/>
        <v>0</v>
      </c>
    </row>
    <row r="32" spans="1:17">
      <c r="A32" s="1">
        <v>26</v>
      </c>
      <c r="B32" s="629">
        <f>Assistive_Products_Costs!B36</f>
        <v>0</v>
      </c>
      <c r="C32" s="2"/>
      <c r="D32" s="2">
        <f>Assistive_Products_Costs!C36</f>
        <v>0</v>
      </c>
      <c r="E32" s="938">
        <f t="shared" si="0"/>
        <v>0</v>
      </c>
      <c r="F32" s="938">
        <f t="shared" si="1"/>
        <v>0</v>
      </c>
      <c r="G32" s="938">
        <f t="shared" si="2"/>
        <v>0</v>
      </c>
      <c r="H32" s="938">
        <f t="shared" si="3"/>
        <v>0</v>
      </c>
      <c r="I32" s="938">
        <f t="shared" si="4"/>
        <v>0</v>
      </c>
      <c r="J32" s="939">
        <f t="shared" si="5"/>
        <v>0</v>
      </c>
      <c r="K32" s="495"/>
      <c r="L32" s="940" t="b">
        <f t="shared" si="6"/>
        <v>0</v>
      </c>
      <c r="M32" s="938" t="b">
        <f t="shared" si="7"/>
        <v>0</v>
      </c>
      <c r="N32" s="938" t="b">
        <f t="shared" si="8"/>
        <v>0</v>
      </c>
      <c r="O32" s="938" t="b">
        <f t="shared" si="9"/>
        <v>0</v>
      </c>
      <c r="P32" s="938" t="b">
        <f t="shared" si="10"/>
        <v>0</v>
      </c>
      <c r="Q32" s="939" t="b">
        <f t="shared" si="11"/>
        <v>0</v>
      </c>
    </row>
    <row r="33" spans="1:17">
      <c r="A33" s="1">
        <v>27</v>
      </c>
      <c r="B33" s="629">
        <f>Assistive_Products_Costs!B37</f>
        <v>0</v>
      </c>
      <c r="C33" s="2"/>
      <c r="D33" s="2">
        <f>Assistive_Products_Costs!C37</f>
        <v>0</v>
      </c>
      <c r="E33" s="938">
        <f t="shared" si="0"/>
        <v>0</v>
      </c>
      <c r="F33" s="938">
        <f t="shared" si="1"/>
        <v>0</v>
      </c>
      <c r="G33" s="938">
        <f t="shared" si="2"/>
        <v>0</v>
      </c>
      <c r="H33" s="938">
        <f t="shared" si="3"/>
        <v>0</v>
      </c>
      <c r="I33" s="938">
        <f t="shared" si="4"/>
        <v>0</v>
      </c>
      <c r="J33" s="939">
        <f t="shared" si="5"/>
        <v>0</v>
      </c>
      <c r="K33" s="495"/>
      <c r="L33" s="940" t="b">
        <f t="shared" si="6"/>
        <v>0</v>
      </c>
      <c r="M33" s="938" t="b">
        <f t="shared" si="7"/>
        <v>0</v>
      </c>
      <c r="N33" s="938" t="b">
        <f t="shared" si="8"/>
        <v>0</v>
      </c>
      <c r="O33" s="938" t="b">
        <f t="shared" si="9"/>
        <v>0</v>
      </c>
      <c r="P33" s="938" t="b">
        <f t="shared" si="10"/>
        <v>0</v>
      </c>
      <c r="Q33" s="939" t="b">
        <f t="shared" si="11"/>
        <v>0</v>
      </c>
    </row>
    <row r="34" spans="1:17">
      <c r="A34" s="1">
        <v>28</v>
      </c>
      <c r="B34" s="629">
        <f>Assistive_Products_Costs!B38</f>
        <v>0</v>
      </c>
      <c r="C34" s="2"/>
      <c r="D34" s="2">
        <f>Assistive_Products_Costs!C38</f>
        <v>0</v>
      </c>
      <c r="E34" s="938">
        <f t="shared" si="0"/>
        <v>0</v>
      </c>
      <c r="F34" s="938">
        <f t="shared" si="1"/>
        <v>0</v>
      </c>
      <c r="G34" s="938">
        <f t="shared" si="2"/>
        <v>0</v>
      </c>
      <c r="H34" s="938">
        <f t="shared" si="3"/>
        <v>0</v>
      </c>
      <c r="I34" s="938">
        <f t="shared" si="4"/>
        <v>0</v>
      </c>
      <c r="J34" s="939">
        <f t="shared" si="5"/>
        <v>0</v>
      </c>
      <c r="K34" s="495"/>
      <c r="L34" s="940" t="b">
        <f t="shared" si="6"/>
        <v>0</v>
      </c>
      <c r="M34" s="938" t="b">
        <f t="shared" si="7"/>
        <v>0</v>
      </c>
      <c r="N34" s="938" t="b">
        <f t="shared" si="8"/>
        <v>0</v>
      </c>
      <c r="O34" s="938" t="b">
        <f t="shared" si="9"/>
        <v>0</v>
      </c>
      <c r="P34" s="938" t="b">
        <f t="shared" si="10"/>
        <v>0</v>
      </c>
      <c r="Q34" s="939" t="b">
        <f t="shared" si="11"/>
        <v>0</v>
      </c>
    </row>
    <row r="35" spans="1:17">
      <c r="A35" s="1">
        <v>29</v>
      </c>
      <c r="B35" s="629">
        <f>Assistive_Products_Costs!B39</f>
        <v>0</v>
      </c>
      <c r="C35" s="2"/>
      <c r="D35" s="2">
        <f>Assistive_Products_Costs!C39</f>
        <v>0</v>
      </c>
      <c r="E35" s="938">
        <f t="shared" si="0"/>
        <v>0</v>
      </c>
      <c r="F35" s="938">
        <f t="shared" si="1"/>
        <v>0</v>
      </c>
      <c r="G35" s="938">
        <f t="shared" si="2"/>
        <v>0</v>
      </c>
      <c r="H35" s="938">
        <f t="shared" si="3"/>
        <v>0</v>
      </c>
      <c r="I35" s="938">
        <f t="shared" si="4"/>
        <v>0</v>
      </c>
      <c r="J35" s="939">
        <f t="shared" si="5"/>
        <v>0</v>
      </c>
      <c r="K35" s="495"/>
      <c r="L35" s="940" t="b">
        <f t="shared" si="6"/>
        <v>0</v>
      </c>
      <c r="M35" s="938" t="b">
        <f t="shared" si="7"/>
        <v>0</v>
      </c>
      <c r="N35" s="938" t="b">
        <f t="shared" si="8"/>
        <v>0</v>
      </c>
      <c r="O35" s="938" t="b">
        <f t="shared" si="9"/>
        <v>0</v>
      </c>
      <c r="P35" s="938" t="b">
        <f t="shared" si="10"/>
        <v>0</v>
      </c>
      <c r="Q35" s="939" t="b">
        <f t="shared" si="11"/>
        <v>0</v>
      </c>
    </row>
    <row r="36" spans="1:17">
      <c r="A36" s="1">
        <v>30</v>
      </c>
      <c r="B36" s="629">
        <f>Assistive_Products_Costs!B40</f>
        <v>0</v>
      </c>
      <c r="C36" s="2"/>
      <c r="D36" s="2">
        <f>Assistive_Products_Costs!C40</f>
        <v>0</v>
      </c>
      <c r="E36" s="938">
        <f t="shared" si="0"/>
        <v>0</v>
      </c>
      <c r="F36" s="938">
        <f t="shared" si="1"/>
        <v>0</v>
      </c>
      <c r="G36" s="938">
        <f t="shared" si="2"/>
        <v>0</v>
      </c>
      <c r="H36" s="938">
        <f t="shared" si="3"/>
        <v>0</v>
      </c>
      <c r="I36" s="938">
        <f t="shared" si="4"/>
        <v>0</v>
      </c>
      <c r="J36" s="939">
        <f t="shared" si="5"/>
        <v>0</v>
      </c>
      <c r="K36" s="495"/>
      <c r="L36" s="940" t="b">
        <f t="shared" si="6"/>
        <v>0</v>
      </c>
      <c r="M36" s="938" t="b">
        <f t="shared" si="7"/>
        <v>0</v>
      </c>
      <c r="N36" s="938" t="b">
        <f t="shared" si="8"/>
        <v>0</v>
      </c>
      <c r="O36" s="938" t="b">
        <f t="shared" si="9"/>
        <v>0</v>
      </c>
      <c r="P36" s="938" t="b">
        <f t="shared" si="10"/>
        <v>0</v>
      </c>
      <c r="Q36" s="939" t="b">
        <f t="shared" si="11"/>
        <v>0</v>
      </c>
    </row>
    <row r="37" spans="1:17">
      <c r="A37" s="1">
        <v>31</v>
      </c>
      <c r="B37" s="629">
        <f>Assistive_Products_Costs!B41</f>
        <v>0</v>
      </c>
      <c r="C37" s="2"/>
      <c r="D37" s="2">
        <f>Assistive_Products_Costs!C41</f>
        <v>0</v>
      </c>
      <c r="E37" s="938">
        <f t="shared" si="0"/>
        <v>0</v>
      </c>
      <c r="F37" s="938">
        <f t="shared" si="1"/>
        <v>0</v>
      </c>
      <c r="G37" s="938">
        <f t="shared" si="2"/>
        <v>0</v>
      </c>
      <c r="H37" s="938">
        <f t="shared" si="3"/>
        <v>0</v>
      </c>
      <c r="I37" s="938">
        <f t="shared" si="4"/>
        <v>0</v>
      </c>
      <c r="J37" s="939">
        <f t="shared" si="5"/>
        <v>0</v>
      </c>
      <c r="K37" s="495"/>
      <c r="L37" s="940" t="b">
        <f t="shared" si="6"/>
        <v>0</v>
      </c>
      <c r="M37" s="938" t="b">
        <f t="shared" si="7"/>
        <v>0</v>
      </c>
      <c r="N37" s="938" t="b">
        <f t="shared" si="8"/>
        <v>0</v>
      </c>
      <c r="O37" s="938" t="b">
        <f t="shared" si="9"/>
        <v>0</v>
      </c>
      <c r="P37" s="938" t="b">
        <f t="shared" si="10"/>
        <v>0</v>
      </c>
      <c r="Q37" s="939" t="b">
        <f t="shared" si="11"/>
        <v>0</v>
      </c>
    </row>
    <row r="38" spans="1:17">
      <c r="A38" s="1">
        <v>32</v>
      </c>
      <c r="B38" s="629">
        <f>Assistive_Products_Costs!B42</f>
        <v>0</v>
      </c>
      <c r="C38" s="2"/>
      <c r="D38" s="2">
        <f>Assistive_Products_Costs!C42</f>
        <v>0</v>
      </c>
      <c r="E38" s="938">
        <f t="shared" si="0"/>
        <v>0</v>
      </c>
      <c r="F38" s="938">
        <f t="shared" si="1"/>
        <v>0</v>
      </c>
      <c r="G38" s="938">
        <f t="shared" si="2"/>
        <v>0</v>
      </c>
      <c r="H38" s="938">
        <f t="shared" si="3"/>
        <v>0</v>
      </c>
      <c r="I38" s="938">
        <f t="shared" si="4"/>
        <v>0</v>
      </c>
      <c r="J38" s="939">
        <f t="shared" si="5"/>
        <v>0</v>
      </c>
      <c r="K38" s="495"/>
      <c r="L38" s="940" t="b">
        <f t="shared" si="6"/>
        <v>0</v>
      </c>
      <c r="M38" s="938" t="b">
        <f t="shared" si="7"/>
        <v>0</v>
      </c>
      <c r="N38" s="938" t="b">
        <f t="shared" si="8"/>
        <v>0</v>
      </c>
      <c r="O38" s="938" t="b">
        <f t="shared" si="9"/>
        <v>0</v>
      </c>
      <c r="P38" s="938" t="b">
        <f t="shared" si="10"/>
        <v>0</v>
      </c>
      <c r="Q38" s="939" t="b">
        <f t="shared" si="11"/>
        <v>0</v>
      </c>
    </row>
    <row r="39" spans="1:17">
      <c r="A39" s="1">
        <v>33</v>
      </c>
      <c r="B39" s="629">
        <f>Assistive_Products_Costs!B43</f>
        <v>0</v>
      </c>
      <c r="C39" s="2"/>
      <c r="D39" s="2">
        <f>Assistive_Products_Costs!C43</f>
        <v>0</v>
      </c>
      <c r="E39" s="938">
        <f t="shared" ref="E39:E70" si="12">SUMIF(stg_list,$B39,stg_unit1)</f>
        <v>0</v>
      </c>
      <c r="F39" s="938">
        <f t="shared" ref="F39:F70" si="13">SUMIF(stg_list,$B39,stg_unit2)</f>
        <v>0</v>
      </c>
      <c r="G39" s="938">
        <f t="shared" ref="G39:G70" si="14">SUMIF(stg_list,$B39,stg_unit3)</f>
        <v>0</v>
      </c>
      <c r="H39" s="938">
        <f t="shared" ref="H39:H70" si="15">SUMIF(stg_list,$B39,stg_unit4)</f>
        <v>0</v>
      </c>
      <c r="I39" s="938">
        <f t="shared" ref="I39:I70" si="16">SUMIF(stg_list,$B39,stg_unit5)</f>
        <v>0</v>
      </c>
      <c r="J39" s="939">
        <f t="shared" ref="J39:J70" si="17">SUMIF(stg_list,$B39,stg_unit6)</f>
        <v>0</v>
      </c>
      <c r="K39" s="495"/>
      <c r="L39" s="940" t="b">
        <f t="shared" ref="L39:L70" si="18">IF(currency_calculation=1,SUMIF(stg_list,$B39,stg_cost1),IF(currency_calculation=2,(SUMIF(stg_list,$B39,stg_cost1))*exchange_rate,IF(currency_calculation=3,(SUMIF(stg_list,$B39,stg_cost1))/exchange_rate)))</f>
        <v>0</v>
      </c>
      <c r="M39" s="938" t="b">
        <f t="shared" ref="M39:M70" si="19">IF(currency_calculation=1,SUMIF(stg_list,$B39,stg_cost2),IF(currency_calculation=2,(SUMIF(stg_list,$B39,stg_cost2))*exchange_rate,IF(currency_calculation=3,(SUMIF(stg_list,$B39,stg_cost2))/exchange_rate)))</f>
        <v>0</v>
      </c>
      <c r="N39" s="938" t="b">
        <f t="shared" ref="N39:N70" si="20">IF(currency_calculation=1,SUMIF(stg_list,$B39,stg_cost3),IF(currency_calculation=2,(SUMIF(stg_list,$B39,stg_cost3))*exchange_rate,IF(currency_calculation=3,(SUMIF(stg_list,$B39,stg_cost3))/exchange_rate)))</f>
        <v>0</v>
      </c>
      <c r="O39" s="938" t="b">
        <f t="shared" ref="O39:O70" si="21">IF(currency_calculation=1,SUMIF(stg_list,$B39,stg_cost4),IF(currency_calculation=2,(SUMIF(stg_list,$B39,stg_cost4))*exchange_rate,IF(currency_calculation=3,(SUMIF(stg_list,$B39,stg_cost4))/exchange_rate)))</f>
        <v>0</v>
      </c>
      <c r="P39" s="938" t="b">
        <f t="shared" ref="P39:P70" si="22">IF(currency_calculation=1,SUMIF(stg_list,$B39,stg_cost5),IF(currency_calculation=2,(SUMIF(stg_list,$B39,stg_cost5))*exchange_rate,IF(currency_calculation=3,(SUMIF(stg_list,$B39,stg_cost5))/exchange_rate)))</f>
        <v>0</v>
      </c>
      <c r="Q39" s="939" t="b">
        <f t="shared" ref="Q39:Q70" si="23">IF(currency_calculation=1,SUMIF(stg_list,$B39,stg_cost6),IF(currency_calculation=2,(SUMIF(stg_list,$B39,stg_cost6))*exchange_rate,IF(currency_calculation=3,(SUMIF(stg_list,$B39,stg_cost6))/exchange_rate)))</f>
        <v>0</v>
      </c>
    </row>
    <row r="40" spans="1:17">
      <c r="A40" s="1">
        <v>34</v>
      </c>
      <c r="B40" s="629">
        <f>Assistive_Products_Costs!B44</f>
        <v>0</v>
      </c>
      <c r="C40" s="2"/>
      <c r="D40" s="2">
        <f>Assistive_Products_Costs!C44</f>
        <v>0</v>
      </c>
      <c r="E40" s="938">
        <f t="shared" si="12"/>
        <v>0</v>
      </c>
      <c r="F40" s="938">
        <f t="shared" si="13"/>
        <v>0</v>
      </c>
      <c r="G40" s="938">
        <f t="shared" si="14"/>
        <v>0</v>
      </c>
      <c r="H40" s="938">
        <f t="shared" si="15"/>
        <v>0</v>
      </c>
      <c r="I40" s="938">
        <f t="shared" si="16"/>
        <v>0</v>
      </c>
      <c r="J40" s="939">
        <f t="shared" si="17"/>
        <v>0</v>
      </c>
      <c r="K40" s="495"/>
      <c r="L40" s="940" t="b">
        <f t="shared" si="18"/>
        <v>0</v>
      </c>
      <c r="M40" s="938" t="b">
        <f t="shared" si="19"/>
        <v>0</v>
      </c>
      <c r="N40" s="938" t="b">
        <f t="shared" si="20"/>
        <v>0</v>
      </c>
      <c r="O40" s="938" t="b">
        <f t="shared" si="21"/>
        <v>0</v>
      </c>
      <c r="P40" s="938" t="b">
        <f t="shared" si="22"/>
        <v>0</v>
      </c>
      <c r="Q40" s="939" t="b">
        <f t="shared" si="23"/>
        <v>0</v>
      </c>
    </row>
    <row r="41" spans="1:17">
      <c r="A41" s="1">
        <v>35</v>
      </c>
      <c r="B41" s="629">
        <f>Assistive_Products_Costs!B45</f>
        <v>0</v>
      </c>
      <c r="C41" s="2"/>
      <c r="D41" s="2">
        <f>Assistive_Products_Costs!C45</f>
        <v>0</v>
      </c>
      <c r="E41" s="938">
        <f t="shared" si="12"/>
        <v>0</v>
      </c>
      <c r="F41" s="938">
        <f t="shared" si="13"/>
        <v>0</v>
      </c>
      <c r="G41" s="938">
        <f t="shared" si="14"/>
        <v>0</v>
      </c>
      <c r="H41" s="938">
        <f t="shared" si="15"/>
        <v>0</v>
      </c>
      <c r="I41" s="938">
        <f t="shared" si="16"/>
        <v>0</v>
      </c>
      <c r="J41" s="939">
        <f t="shared" si="17"/>
        <v>0</v>
      </c>
      <c r="K41" s="495"/>
      <c r="L41" s="940" t="b">
        <f t="shared" si="18"/>
        <v>0</v>
      </c>
      <c r="M41" s="938" t="b">
        <f t="shared" si="19"/>
        <v>0</v>
      </c>
      <c r="N41" s="938" t="b">
        <f t="shared" si="20"/>
        <v>0</v>
      </c>
      <c r="O41" s="938" t="b">
        <f t="shared" si="21"/>
        <v>0</v>
      </c>
      <c r="P41" s="938" t="b">
        <f t="shared" si="22"/>
        <v>0</v>
      </c>
      <c r="Q41" s="939" t="b">
        <f t="shared" si="23"/>
        <v>0</v>
      </c>
    </row>
    <row r="42" spans="1:17">
      <c r="A42" s="1">
        <v>36</v>
      </c>
      <c r="B42" s="629">
        <f>Assistive_Products_Costs!B46</f>
        <v>0</v>
      </c>
      <c r="C42" s="2"/>
      <c r="D42" s="2">
        <f>Assistive_Products_Costs!C46</f>
        <v>0</v>
      </c>
      <c r="E42" s="938">
        <f t="shared" si="12"/>
        <v>0</v>
      </c>
      <c r="F42" s="938">
        <f t="shared" si="13"/>
        <v>0</v>
      </c>
      <c r="G42" s="938">
        <f t="shared" si="14"/>
        <v>0</v>
      </c>
      <c r="H42" s="938">
        <f t="shared" si="15"/>
        <v>0</v>
      </c>
      <c r="I42" s="938">
        <f t="shared" si="16"/>
        <v>0</v>
      </c>
      <c r="J42" s="939">
        <f t="shared" si="17"/>
        <v>0</v>
      </c>
      <c r="K42" s="495"/>
      <c r="L42" s="940" t="b">
        <f t="shared" si="18"/>
        <v>0</v>
      </c>
      <c r="M42" s="938" t="b">
        <f t="shared" si="19"/>
        <v>0</v>
      </c>
      <c r="N42" s="938" t="b">
        <f t="shared" si="20"/>
        <v>0</v>
      </c>
      <c r="O42" s="938" t="b">
        <f t="shared" si="21"/>
        <v>0</v>
      </c>
      <c r="P42" s="938" t="b">
        <f t="shared" si="22"/>
        <v>0</v>
      </c>
      <c r="Q42" s="939" t="b">
        <f t="shared" si="23"/>
        <v>0</v>
      </c>
    </row>
    <row r="43" spans="1:17">
      <c r="A43" s="1">
        <v>37</v>
      </c>
      <c r="B43" s="629">
        <f>Assistive_Products_Costs!B47</f>
        <v>0</v>
      </c>
      <c r="C43" s="2"/>
      <c r="D43" s="2">
        <f>Assistive_Products_Costs!C47</f>
        <v>0</v>
      </c>
      <c r="E43" s="938">
        <f t="shared" si="12"/>
        <v>0</v>
      </c>
      <c r="F43" s="938">
        <f t="shared" si="13"/>
        <v>0</v>
      </c>
      <c r="G43" s="938">
        <f t="shared" si="14"/>
        <v>0</v>
      </c>
      <c r="H43" s="938">
        <f t="shared" si="15"/>
        <v>0</v>
      </c>
      <c r="I43" s="938">
        <f t="shared" si="16"/>
        <v>0</v>
      </c>
      <c r="J43" s="939">
        <f t="shared" si="17"/>
        <v>0</v>
      </c>
      <c r="K43" s="495"/>
      <c r="L43" s="940" t="b">
        <f t="shared" si="18"/>
        <v>0</v>
      </c>
      <c r="M43" s="938" t="b">
        <f t="shared" si="19"/>
        <v>0</v>
      </c>
      <c r="N43" s="938" t="b">
        <f t="shared" si="20"/>
        <v>0</v>
      </c>
      <c r="O43" s="938" t="b">
        <f t="shared" si="21"/>
        <v>0</v>
      </c>
      <c r="P43" s="938" t="b">
        <f t="shared" si="22"/>
        <v>0</v>
      </c>
      <c r="Q43" s="939" t="b">
        <f t="shared" si="23"/>
        <v>0</v>
      </c>
    </row>
    <row r="44" spans="1:17">
      <c r="A44" s="1">
        <v>38</v>
      </c>
      <c r="B44" s="629">
        <f>Assistive_Products_Costs!B48</f>
        <v>0</v>
      </c>
      <c r="C44" s="2"/>
      <c r="D44" s="2">
        <f>Assistive_Products_Costs!C48</f>
        <v>0</v>
      </c>
      <c r="E44" s="938">
        <f t="shared" si="12"/>
        <v>0</v>
      </c>
      <c r="F44" s="938">
        <f t="shared" si="13"/>
        <v>0</v>
      </c>
      <c r="G44" s="938">
        <f t="shared" si="14"/>
        <v>0</v>
      </c>
      <c r="H44" s="938">
        <f t="shared" si="15"/>
        <v>0</v>
      </c>
      <c r="I44" s="938">
        <f t="shared" si="16"/>
        <v>0</v>
      </c>
      <c r="J44" s="939">
        <f t="shared" si="17"/>
        <v>0</v>
      </c>
      <c r="K44" s="495"/>
      <c r="L44" s="940" t="b">
        <f t="shared" si="18"/>
        <v>0</v>
      </c>
      <c r="M44" s="938" t="b">
        <f t="shared" si="19"/>
        <v>0</v>
      </c>
      <c r="N44" s="938" t="b">
        <f t="shared" si="20"/>
        <v>0</v>
      </c>
      <c r="O44" s="938" t="b">
        <f t="shared" si="21"/>
        <v>0</v>
      </c>
      <c r="P44" s="938" t="b">
        <f t="shared" si="22"/>
        <v>0</v>
      </c>
      <c r="Q44" s="939" t="b">
        <f t="shared" si="23"/>
        <v>0</v>
      </c>
    </row>
    <row r="45" spans="1:17">
      <c r="A45" s="1">
        <v>39</v>
      </c>
      <c r="B45" s="629">
        <f>Assistive_Products_Costs!B49</f>
        <v>0</v>
      </c>
      <c r="C45" s="2"/>
      <c r="D45" s="2">
        <f>Assistive_Products_Costs!C49</f>
        <v>0</v>
      </c>
      <c r="E45" s="938">
        <f t="shared" si="12"/>
        <v>0</v>
      </c>
      <c r="F45" s="938">
        <f t="shared" si="13"/>
        <v>0</v>
      </c>
      <c r="G45" s="938">
        <f t="shared" si="14"/>
        <v>0</v>
      </c>
      <c r="H45" s="938">
        <f t="shared" si="15"/>
        <v>0</v>
      </c>
      <c r="I45" s="938">
        <f t="shared" si="16"/>
        <v>0</v>
      </c>
      <c r="J45" s="939">
        <f t="shared" si="17"/>
        <v>0</v>
      </c>
      <c r="K45" s="495"/>
      <c r="L45" s="940" t="b">
        <f t="shared" si="18"/>
        <v>0</v>
      </c>
      <c r="M45" s="938" t="b">
        <f t="shared" si="19"/>
        <v>0</v>
      </c>
      <c r="N45" s="938" t="b">
        <f t="shared" si="20"/>
        <v>0</v>
      </c>
      <c r="O45" s="938" t="b">
        <f t="shared" si="21"/>
        <v>0</v>
      </c>
      <c r="P45" s="938" t="b">
        <f t="shared" si="22"/>
        <v>0</v>
      </c>
      <c r="Q45" s="939" t="b">
        <f t="shared" si="23"/>
        <v>0</v>
      </c>
    </row>
    <row r="46" spans="1:17">
      <c r="A46" s="1">
        <v>40</v>
      </c>
      <c r="B46" s="629">
        <f>Assistive_Products_Costs!B50</f>
        <v>0</v>
      </c>
      <c r="C46" s="2"/>
      <c r="D46" s="2">
        <f>Assistive_Products_Costs!C50</f>
        <v>0</v>
      </c>
      <c r="E46" s="938">
        <f t="shared" si="12"/>
        <v>0</v>
      </c>
      <c r="F46" s="938">
        <f t="shared" si="13"/>
        <v>0</v>
      </c>
      <c r="G46" s="938">
        <f t="shared" si="14"/>
        <v>0</v>
      </c>
      <c r="H46" s="938">
        <f t="shared" si="15"/>
        <v>0</v>
      </c>
      <c r="I46" s="938">
        <f t="shared" si="16"/>
        <v>0</v>
      </c>
      <c r="J46" s="939">
        <f t="shared" si="17"/>
        <v>0</v>
      </c>
      <c r="K46" s="495"/>
      <c r="L46" s="940" t="b">
        <f t="shared" si="18"/>
        <v>0</v>
      </c>
      <c r="M46" s="938" t="b">
        <f t="shared" si="19"/>
        <v>0</v>
      </c>
      <c r="N46" s="938" t="b">
        <f t="shared" si="20"/>
        <v>0</v>
      </c>
      <c r="O46" s="938" t="b">
        <f t="shared" si="21"/>
        <v>0</v>
      </c>
      <c r="P46" s="938" t="b">
        <f t="shared" si="22"/>
        <v>0</v>
      </c>
      <c r="Q46" s="939" t="b">
        <f t="shared" si="23"/>
        <v>0</v>
      </c>
    </row>
    <row r="47" spans="1:17">
      <c r="A47" s="1">
        <v>41</v>
      </c>
      <c r="B47" s="629">
        <f>Assistive_Products_Costs!B51</f>
        <v>0</v>
      </c>
      <c r="C47" s="2"/>
      <c r="D47" s="2">
        <f>Assistive_Products_Costs!C51</f>
        <v>0</v>
      </c>
      <c r="E47" s="938">
        <f t="shared" si="12"/>
        <v>0</v>
      </c>
      <c r="F47" s="938">
        <f t="shared" si="13"/>
        <v>0</v>
      </c>
      <c r="G47" s="938">
        <f t="shared" si="14"/>
        <v>0</v>
      </c>
      <c r="H47" s="938">
        <f t="shared" si="15"/>
        <v>0</v>
      </c>
      <c r="I47" s="938">
        <f t="shared" si="16"/>
        <v>0</v>
      </c>
      <c r="J47" s="939">
        <f t="shared" si="17"/>
        <v>0</v>
      </c>
      <c r="K47" s="495"/>
      <c r="L47" s="940" t="b">
        <f t="shared" si="18"/>
        <v>0</v>
      </c>
      <c r="M47" s="938" t="b">
        <f t="shared" si="19"/>
        <v>0</v>
      </c>
      <c r="N47" s="938" t="b">
        <f t="shared" si="20"/>
        <v>0</v>
      </c>
      <c r="O47" s="938" t="b">
        <f t="shared" si="21"/>
        <v>0</v>
      </c>
      <c r="P47" s="938" t="b">
        <f t="shared" si="22"/>
        <v>0</v>
      </c>
      <c r="Q47" s="939" t="b">
        <f t="shared" si="23"/>
        <v>0</v>
      </c>
    </row>
    <row r="48" spans="1:17">
      <c r="A48" s="1">
        <v>42</v>
      </c>
      <c r="B48" s="629">
        <f>Assistive_Products_Costs!B52</f>
        <v>0</v>
      </c>
      <c r="C48" s="2"/>
      <c r="D48" s="2">
        <f>Assistive_Products_Costs!C52</f>
        <v>0</v>
      </c>
      <c r="E48" s="938">
        <f t="shared" si="12"/>
        <v>0</v>
      </c>
      <c r="F48" s="938">
        <f t="shared" si="13"/>
        <v>0</v>
      </c>
      <c r="G48" s="938">
        <f t="shared" si="14"/>
        <v>0</v>
      </c>
      <c r="H48" s="938">
        <f t="shared" si="15"/>
        <v>0</v>
      </c>
      <c r="I48" s="938">
        <f t="shared" si="16"/>
        <v>0</v>
      </c>
      <c r="J48" s="939">
        <f t="shared" si="17"/>
        <v>0</v>
      </c>
      <c r="K48" s="495"/>
      <c r="L48" s="940" t="b">
        <f t="shared" si="18"/>
        <v>0</v>
      </c>
      <c r="M48" s="938" t="b">
        <f t="shared" si="19"/>
        <v>0</v>
      </c>
      <c r="N48" s="938" t="b">
        <f t="shared" si="20"/>
        <v>0</v>
      </c>
      <c r="O48" s="938" t="b">
        <f t="shared" si="21"/>
        <v>0</v>
      </c>
      <c r="P48" s="938" t="b">
        <f t="shared" si="22"/>
        <v>0</v>
      </c>
      <c r="Q48" s="939" t="b">
        <f t="shared" si="23"/>
        <v>0</v>
      </c>
    </row>
    <row r="49" spans="1:17">
      <c r="A49" s="1">
        <v>43</v>
      </c>
      <c r="B49" s="629">
        <f>Assistive_Products_Costs!B53</f>
        <v>0</v>
      </c>
      <c r="C49" s="2"/>
      <c r="D49" s="2">
        <f>Assistive_Products_Costs!C53</f>
        <v>0</v>
      </c>
      <c r="E49" s="938">
        <f t="shared" si="12"/>
        <v>0</v>
      </c>
      <c r="F49" s="938">
        <f t="shared" si="13"/>
        <v>0</v>
      </c>
      <c r="G49" s="938">
        <f t="shared" si="14"/>
        <v>0</v>
      </c>
      <c r="H49" s="938">
        <f t="shared" si="15"/>
        <v>0</v>
      </c>
      <c r="I49" s="938">
        <f t="shared" si="16"/>
        <v>0</v>
      </c>
      <c r="J49" s="939">
        <f t="shared" si="17"/>
        <v>0</v>
      </c>
      <c r="K49" s="495"/>
      <c r="L49" s="940" t="b">
        <f t="shared" si="18"/>
        <v>0</v>
      </c>
      <c r="M49" s="938" t="b">
        <f t="shared" si="19"/>
        <v>0</v>
      </c>
      <c r="N49" s="938" t="b">
        <f t="shared" si="20"/>
        <v>0</v>
      </c>
      <c r="O49" s="938" t="b">
        <f t="shared" si="21"/>
        <v>0</v>
      </c>
      <c r="P49" s="938" t="b">
        <f t="shared" si="22"/>
        <v>0</v>
      </c>
      <c r="Q49" s="939" t="b">
        <f t="shared" si="23"/>
        <v>0</v>
      </c>
    </row>
    <row r="50" spans="1:17">
      <c r="A50" s="1">
        <v>44</v>
      </c>
      <c r="B50" s="629">
        <f>Assistive_Products_Costs!B54</f>
        <v>0</v>
      </c>
      <c r="C50" s="2"/>
      <c r="D50" s="2">
        <f>Assistive_Products_Costs!C54</f>
        <v>0</v>
      </c>
      <c r="E50" s="938">
        <f t="shared" si="12"/>
        <v>0</v>
      </c>
      <c r="F50" s="938">
        <f t="shared" si="13"/>
        <v>0</v>
      </c>
      <c r="G50" s="938">
        <f t="shared" si="14"/>
        <v>0</v>
      </c>
      <c r="H50" s="938">
        <f t="shared" si="15"/>
        <v>0</v>
      </c>
      <c r="I50" s="938">
        <f t="shared" si="16"/>
        <v>0</v>
      </c>
      <c r="J50" s="939">
        <f t="shared" si="17"/>
        <v>0</v>
      </c>
      <c r="K50" s="495"/>
      <c r="L50" s="940" t="b">
        <f t="shared" si="18"/>
        <v>0</v>
      </c>
      <c r="M50" s="938" t="b">
        <f t="shared" si="19"/>
        <v>0</v>
      </c>
      <c r="N50" s="938" t="b">
        <f t="shared" si="20"/>
        <v>0</v>
      </c>
      <c r="O50" s="938" t="b">
        <f t="shared" si="21"/>
        <v>0</v>
      </c>
      <c r="P50" s="938" t="b">
        <f t="shared" si="22"/>
        <v>0</v>
      </c>
      <c r="Q50" s="939" t="b">
        <f t="shared" si="23"/>
        <v>0</v>
      </c>
    </row>
    <row r="51" spans="1:17">
      <c r="A51" s="1">
        <v>45</v>
      </c>
      <c r="B51" s="629">
        <f>Assistive_Products_Costs!B55</f>
        <v>0</v>
      </c>
      <c r="C51" s="2"/>
      <c r="D51" s="2">
        <f>Assistive_Products_Costs!C55</f>
        <v>0</v>
      </c>
      <c r="E51" s="938">
        <f t="shared" si="12"/>
        <v>0</v>
      </c>
      <c r="F51" s="938">
        <f t="shared" si="13"/>
        <v>0</v>
      </c>
      <c r="G51" s="938">
        <f t="shared" si="14"/>
        <v>0</v>
      </c>
      <c r="H51" s="938">
        <f t="shared" si="15"/>
        <v>0</v>
      </c>
      <c r="I51" s="938">
        <f t="shared" si="16"/>
        <v>0</v>
      </c>
      <c r="J51" s="939">
        <f t="shared" si="17"/>
        <v>0</v>
      </c>
      <c r="K51" s="495"/>
      <c r="L51" s="940" t="b">
        <f t="shared" si="18"/>
        <v>0</v>
      </c>
      <c r="M51" s="938" t="b">
        <f t="shared" si="19"/>
        <v>0</v>
      </c>
      <c r="N51" s="938" t="b">
        <f t="shared" si="20"/>
        <v>0</v>
      </c>
      <c r="O51" s="938" t="b">
        <f t="shared" si="21"/>
        <v>0</v>
      </c>
      <c r="P51" s="938" t="b">
        <f t="shared" si="22"/>
        <v>0</v>
      </c>
      <c r="Q51" s="939" t="b">
        <f t="shared" si="23"/>
        <v>0</v>
      </c>
    </row>
    <row r="52" spans="1:17">
      <c r="A52" s="1">
        <v>46</v>
      </c>
      <c r="B52" s="629">
        <f>Assistive_Products_Costs!B56</f>
        <v>0</v>
      </c>
      <c r="C52" s="2"/>
      <c r="D52" s="2">
        <f>Assistive_Products_Costs!C56</f>
        <v>0</v>
      </c>
      <c r="E52" s="938">
        <f t="shared" si="12"/>
        <v>0</v>
      </c>
      <c r="F52" s="938">
        <f t="shared" si="13"/>
        <v>0</v>
      </c>
      <c r="G52" s="938">
        <f t="shared" si="14"/>
        <v>0</v>
      </c>
      <c r="H52" s="938">
        <f t="shared" si="15"/>
        <v>0</v>
      </c>
      <c r="I52" s="938">
        <f t="shared" si="16"/>
        <v>0</v>
      </c>
      <c r="J52" s="939">
        <f t="shared" si="17"/>
        <v>0</v>
      </c>
      <c r="K52" s="495"/>
      <c r="L52" s="940" t="b">
        <f t="shared" si="18"/>
        <v>0</v>
      </c>
      <c r="M52" s="938" t="b">
        <f t="shared" si="19"/>
        <v>0</v>
      </c>
      <c r="N52" s="938" t="b">
        <f t="shared" si="20"/>
        <v>0</v>
      </c>
      <c r="O52" s="938" t="b">
        <f t="shared" si="21"/>
        <v>0</v>
      </c>
      <c r="P52" s="938" t="b">
        <f t="shared" si="22"/>
        <v>0</v>
      </c>
      <c r="Q52" s="939" t="b">
        <f t="shared" si="23"/>
        <v>0</v>
      </c>
    </row>
    <row r="53" spans="1:17">
      <c r="A53" s="1">
        <v>47</v>
      </c>
      <c r="B53" s="629">
        <f>Assistive_Products_Costs!B57</f>
        <v>0</v>
      </c>
      <c r="C53" s="2"/>
      <c r="D53" s="2">
        <f>Assistive_Products_Costs!C57</f>
        <v>0</v>
      </c>
      <c r="E53" s="938">
        <f t="shared" si="12"/>
        <v>0</v>
      </c>
      <c r="F53" s="938">
        <f t="shared" si="13"/>
        <v>0</v>
      </c>
      <c r="G53" s="938">
        <f t="shared" si="14"/>
        <v>0</v>
      </c>
      <c r="H53" s="938">
        <f t="shared" si="15"/>
        <v>0</v>
      </c>
      <c r="I53" s="938">
        <f t="shared" si="16"/>
        <v>0</v>
      </c>
      <c r="J53" s="939">
        <f t="shared" si="17"/>
        <v>0</v>
      </c>
      <c r="K53" s="495"/>
      <c r="L53" s="940" t="b">
        <f t="shared" si="18"/>
        <v>0</v>
      </c>
      <c r="M53" s="938" t="b">
        <f t="shared" si="19"/>
        <v>0</v>
      </c>
      <c r="N53" s="938" t="b">
        <f t="shared" si="20"/>
        <v>0</v>
      </c>
      <c r="O53" s="938" t="b">
        <f t="shared" si="21"/>
        <v>0</v>
      </c>
      <c r="P53" s="938" t="b">
        <f t="shared" si="22"/>
        <v>0</v>
      </c>
      <c r="Q53" s="939" t="b">
        <f t="shared" si="23"/>
        <v>0</v>
      </c>
    </row>
    <row r="54" spans="1:17">
      <c r="A54" s="1">
        <v>48</v>
      </c>
      <c r="B54" s="629">
        <f>Assistive_Products_Costs!B58</f>
        <v>0</v>
      </c>
      <c r="C54" s="2"/>
      <c r="D54" s="2">
        <f>Assistive_Products_Costs!C58</f>
        <v>0</v>
      </c>
      <c r="E54" s="938">
        <f t="shared" si="12"/>
        <v>0</v>
      </c>
      <c r="F54" s="938">
        <f t="shared" si="13"/>
        <v>0</v>
      </c>
      <c r="G54" s="938">
        <f t="shared" si="14"/>
        <v>0</v>
      </c>
      <c r="H54" s="938">
        <f t="shared" si="15"/>
        <v>0</v>
      </c>
      <c r="I54" s="938">
        <f t="shared" si="16"/>
        <v>0</v>
      </c>
      <c r="J54" s="939">
        <f t="shared" si="17"/>
        <v>0</v>
      </c>
      <c r="K54" s="495"/>
      <c r="L54" s="940" t="b">
        <f t="shared" si="18"/>
        <v>0</v>
      </c>
      <c r="M54" s="938" t="b">
        <f t="shared" si="19"/>
        <v>0</v>
      </c>
      <c r="N54" s="938" t="b">
        <f t="shared" si="20"/>
        <v>0</v>
      </c>
      <c r="O54" s="938" t="b">
        <f t="shared" si="21"/>
        <v>0</v>
      </c>
      <c r="P54" s="938" t="b">
        <f t="shared" si="22"/>
        <v>0</v>
      </c>
      <c r="Q54" s="939" t="b">
        <f t="shared" si="23"/>
        <v>0</v>
      </c>
    </row>
    <row r="55" spans="1:17">
      <c r="A55" s="1">
        <v>49</v>
      </c>
      <c r="B55" s="629">
        <f>Assistive_Products_Costs!B59</f>
        <v>0</v>
      </c>
      <c r="C55" s="2"/>
      <c r="D55" s="2">
        <f>Assistive_Products_Costs!C59</f>
        <v>0</v>
      </c>
      <c r="E55" s="938">
        <f t="shared" si="12"/>
        <v>0</v>
      </c>
      <c r="F55" s="938">
        <f t="shared" si="13"/>
        <v>0</v>
      </c>
      <c r="G55" s="938">
        <f t="shared" si="14"/>
        <v>0</v>
      </c>
      <c r="H55" s="938">
        <f t="shared" si="15"/>
        <v>0</v>
      </c>
      <c r="I55" s="938">
        <f t="shared" si="16"/>
        <v>0</v>
      </c>
      <c r="J55" s="939">
        <f t="shared" si="17"/>
        <v>0</v>
      </c>
      <c r="K55" s="495"/>
      <c r="L55" s="940" t="b">
        <f t="shared" si="18"/>
        <v>0</v>
      </c>
      <c r="M55" s="938" t="b">
        <f t="shared" si="19"/>
        <v>0</v>
      </c>
      <c r="N55" s="938" t="b">
        <f t="shared" si="20"/>
        <v>0</v>
      </c>
      <c r="O55" s="938" t="b">
        <f t="shared" si="21"/>
        <v>0</v>
      </c>
      <c r="P55" s="938" t="b">
        <f t="shared" si="22"/>
        <v>0</v>
      </c>
      <c r="Q55" s="939" t="b">
        <f t="shared" si="23"/>
        <v>0</v>
      </c>
    </row>
    <row r="56" spans="1:17">
      <c r="A56" s="1">
        <v>50</v>
      </c>
      <c r="B56" s="629">
        <f>Assistive_Products_Costs!B60</f>
        <v>0</v>
      </c>
      <c r="C56" s="2"/>
      <c r="D56" s="2">
        <f>Assistive_Products_Costs!C60</f>
        <v>0</v>
      </c>
      <c r="E56" s="938">
        <f t="shared" si="12"/>
        <v>0</v>
      </c>
      <c r="F56" s="938">
        <f t="shared" si="13"/>
        <v>0</v>
      </c>
      <c r="G56" s="938">
        <f t="shared" si="14"/>
        <v>0</v>
      </c>
      <c r="H56" s="938">
        <f t="shared" si="15"/>
        <v>0</v>
      </c>
      <c r="I56" s="938">
        <f t="shared" si="16"/>
        <v>0</v>
      </c>
      <c r="J56" s="939">
        <f t="shared" si="17"/>
        <v>0</v>
      </c>
      <c r="K56" s="495"/>
      <c r="L56" s="940" t="b">
        <f t="shared" si="18"/>
        <v>0</v>
      </c>
      <c r="M56" s="938" t="b">
        <f t="shared" si="19"/>
        <v>0</v>
      </c>
      <c r="N56" s="938" t="b">
        <f t="shared" si="20"/>
        <v>0</v>
      </c>
      <c r="O56" s="938" t="b">
        <f t="shared" si="21"/>
        <v>0</v>
      </c>
      <c r="P56" s="938" t="b">
        <f t="shared" si="22"/>
        <v>0</v>
      </c>
      <c r="Q56" s="939" t="b">
        <f t="shared" si="23"/>
        <v>0</v>
      </c>
    </row>
    <row r="57" spans="1:17">
      <c r="A57" s="1">
        <v>51</v>
      </c>
      <c r="B57" s="629">
        <f>Assistive_Products_Costs!B61</f>
        <v>0</v>
      </c>
      <c r="C57" s="2"/>
      <c r="D57" s="2">
        <f>Assistive_Products_Costs!C61</f>
        <v>0</v>
      </c>
      <c r="E57" s="938">
        <f t="shared" si="12"/>
        <v>0</v>
      </c>
      <c r="F57" s="938">
        <f t="shared" si="13"/>
        <v>0</v>
      </c>
      <c r="G57" s="938">
        <f t="shared" si="14"/>
        <v>0</v>
      </c>
      <c r="H57" s="938">
        <f t="shared" si="15"/>
        <v>0</v>
      </c>
      <c r="I57" s="938">
        <f t="shared" si="16"/>
        <v>0</v>
      </c>
      <c r="J57" s="939">
        <f t="shared" si="17"/>
        <v>0</v>
      </c>
      <c r="K57" s="495"/>
      <c r="L57" s="940" t="b">
        <f t="shared" si="18"/>
        <v>0</v>
      </c>
      <c r="M57" s="938" t="b">
        <f t="shared" si="19"/>
        <v>0</v>
      </c>
      <c r="N57" s="938" t="b">
        <f t="shared" si="20"/>
        <v>0</v>
      </c>
      <c r="O57" s="938" t="b">
        <f t="shared" si="21"/>
        <v>0</v>
      </c>
      <c r="P57" s="938" t="b">
        <f t="shared" si="22"/>
        <v>0</v>
      </c>
      <c r="Q57" s="939" t="b">
        <f t="shared" si="23"/>
        <v>0</v>
      </c>
    </row>
    <row r="58" spans="1:17">
      <c r="A58" s="1">
        <v>52</v>
      </c>
      <c r="B58" s="629">
        <f>Assistive_Products_Costs!B62</f>
        <v>0</v>
      </c>
      <c r="C58" s="2"/>
      <c r="D58" s="2">
        <f>Assistive_Products_Costs!C62</f>
        <v>0</v>
      </c>
      <c r="E58" s="938">
        <f t="shared" si="12"/>
        <v>0</v>
      </c>
      <c r="F58" s="938">
        <f t="shared" si="13"/>
        <v>0</v>
      </c>
      <c r="G58" s="938">
        <f t="shared" si="14"/>
        <v>0</v>
      </c>
      <c r="H58" s="938">
        <f t="shared" si="15"/>
        <v>0</v>
      </c>
      <c r="I58" s="938">
        <f t="shared" si="16"/>
        <v>0</v>
      </c>
      <c r="J58" s="939">
        <f t="shared" si="17"/>
        <v>0</v>
      </c>
      <c r="K58" s="495"/>
      <c r="L58" s="940" t="b">
        <f t="shared" si="18"/>
        <v>0</v>
      </c>
      <c r="M58" s="938" t="b">
        <f t="shared" si="19"/>
        <v>0</v>
      </c>
      <c r="N58" s="938" t="b">
        <f t="shared" si="20"/>
        <v>0</v>
      </c>
      <c r="O58" s="938" t="b">
        <f t="shared" si="21"/>
        <v>0</v>
      </c>
      <c r="P58" s="938" t="b">
        <f t="shared" si="22"/>
        <v>0</v>
      </c>
      <c r="Q58" s="939" t="b">
        <f t="shared" si="23"/>
        <v>0</v>
      </c>
    </row>
    <row r="59" spans="1:17">
      <c r="A59" s="1">
        <v>53</v>
      </c>
      <c r="B59" s="629">
        <f>Assistive_Products_Costs!B63</f>
        <v>0</v>
      </c>
      <c r="C59" s="2"/>
      <c r="D59" s="2">
        <f>Assistive_Products_Costs!C63</f>
        <v>0</v>
      </c>
      <c r="E59" s="938">
        <f t="shared" si="12"/>
        <v>0</v>
      </c>
      <c r="F59" s="938">
        <f t="shared" si="13"/>
        <v>0</v>
      </c>
      <c r="G59" s="938">
        <f t="shared" si="14"/>
        <v>0</v>
      </c>
      <c r="H59" s="938">
        <f t="shared" si="15"/>
        <v>0</v>
      </c>
      <c r="I59" s="938">
        <f t="shared" si="16"/>
        <v>0</v>
      </c>
      <c r="J59" s="939">
        <f t="shared" si="17"/>
        <v>0</v>
      </c>
      <c r="K59" s="495"/>
      <c r="L59" s="940" t="b">
        <f t="shared" si="18"/>
        <v>0</v>
      </c>
      <c r="M59" s="938" t="b">
        <f t="shared" si="19"/>
        <v>0</v>
      </c>
      <c r="N59" s="938" t="b">
        <f t="shared" si="20"/>
        <v>0</v>
      </c>
      <c r="O59" s="938" t="b">
        <f t="shared" si="21"/>
        <v>0</v>
      </c>
      <c r="P59" s="938" t="b">
        <f t="shared" si="22"/>
        <v>0</v>
      </c>
      <c r="Q59" s="939" t="b">
        <f t="shared" si="23"/>
        <v>0</v>
      </c>
    </row>
    <row r="60" spans="1:17">
      <c r="A60" s="1">
        <v>54</v>
      </c>
      <c r="B60" s="629">
        <f>Assistive_Products_Costs!B64</f>
        <v>0</v>
      </c>
      <c r="C60" s="2"/>
      <c r="D60" s="2">
        <f>Assistive_Products_Costs!C64</f>
        <v>0</v>
      </c>
      <c r="E60" s="938">
        <f t="shared" si="12"/>
        <v>0</v>
      </c>
      <c r="F60" s="938">
        <f t="shared" si="13"/>
        <v>0</v>
      </c>
      <c r="G60" s="938">
        <f t="shared" si="14"/>
        <v>0</v>
      </c>
      <c r="H60" s="938">
        <f t="shared" si="15"/>
        <v>0</v>
      </c>
      <c r="I60" s="938">
        <f t="shared" si="16"/>
        <v>0</v>
      </c>
      <c r="J60" s="939">
        <f t="shared" si="17"/>
        <v>0</v>
      </c>
      <c r="K60" s="495"/>
      <c r="L60" s="940" t="b">
        <f t="shared" si="18"/>
        <v>0</v>
      </c>
      <c r="M60" s="938" t="b">
        <f t="shared" si="19"/>
        <v>0</v>
      </c>
      <c r="N60" s="938" t="b">
        <f t="shared" si="20"/>
        <v>0</v>
      </c>
      <c r="O60" s="938" t="b">
        <f t="shared" si="21"/>
        <v>0</v>
      </c>
      <c r="P60" s="938" t="b">
        <f t="shared" si="22"/>
        <v>0</v>
      </c>
      <c r="Q60" s="939" t="b">
        <f t="shared" si="23"/>
        <v>0</v>
      </c>
    </row>
    <row r="61" spans="1:17">
      <c r="A61" s="1">
        <v>55</v>
      </c>
      <c r="B61" s="629">
        <f>Assistive_Products_Costs!B65</f>
        <v>0</v>
      </c>
      <c r="C61" s="2"/>
      <c r="D61" s="2">
        <f>Assistive_Products_Costs!C65</f>
        <v>0</v>
      </c>
      <c r="E61" s="938">
        <f t="shared" si="12"/>
        <v>0</v>
      </c>
      <c r="F61" s="938">
        <f t="shared" si="13"/>
        <v>0</v>
      </c>
      <c r="G61" s="938">
        <f t="shared" si="14"/>
        <v>0</v>
      </c>
      <c r="H61" s="938">
        <f t="shared" si="15"/>
        <v>0</v>
      </c>
      <c r="I61" s="938">
        <f t="shared" si="16"/>
        <v>0</v>
      </c>
      <c r="J61" s="939">
        <f t="shared" si="17"/>
        <v>0</v>
      </c>
      <c r="K61" s="495"/>
      <c r="L61" s="940" t="b">
        <f t="shared" si="18"/>
        <v>0</v>
      </c>
      <c r="M61" s="938" t="b">
        <f t="shared" si="19"/>
        <v>0</v>
      </c>
      <c r="N61" s="938" t="b">
        <f t="shared" si="20"/>
        <v>0</v>
      </c>
      <c r="O61" s="938" t="b">
        <f t="shared" si="21"/>
        <v>0</v>
      </c>
      <c r="P61" s="938" t="b">
        <f t="shared" si="22"/>
        <v>0</v>
      </c>
      <c r="Q61" s="939" t="b">
        <f t="shared" si="23"/>
        <v>0</v>
      </c>
    </row>
    <row r="62" spans="1:17">
      <c r="A62" s="1">
        <v>56</v>
      </c>
      <c r="B62" s="629">
        <f>Assistive_Products_Costs!B66</f>
        <v>0</v>
      </c>
      <c r="C62" s="2"/>
      <c r="D62" s="2">
        <f>Assistive_Products_Costs!C66</f>
        <v>0</v>
      </c>
      <c r="E62" s="938">
        <f t="shared" si="12"/>
        <v>0</v>
      </c>
      <c r="F62" s="938">
        <f t="shared" si="13"/>
        <v>0</v>
      </c>
      <c r="G62" s="938">
        <f t="shared" si="14"/>
        <v>0</v>
      </c>
      <c r="H62" s="938">
        <f t="shared" si="15"/>
        <v>0</v>
      </c>
      <c r="I62" s="938">
        <f t="shared" si="16"/>
        <v>0</v>
      </c>
      <c r="J62" s="939">
        <f t="shared" si="17"/>
        <v>0</v>
      </c>
      <c r="K62" s="495"/>
      <c r="L62" s="940" t="b">
        <f t="shared" si="18"/>
        <v>0</v>
      </c>
      <c r="M62" s="938" t="b">
        <f t="shared" si="19"/>
        <v>0</v>
      </c>
      <c r="N62" s="938" t="b">
        <f t="shared" si="20"/>
        <v>0</v>
      </c>
      <c r="O62" s="938" t="b">
        <f t="shared" si="21"/>
        <v>0</v>
      </c>
      <c r="P62" s="938" t="b">
        <f t="shared" si="22"/>
        <v>0</v>
      </c>
      <c r="Q62" s="939" t="b">
        <f t="shared" si="23"/>
        <v>0</v>
      </c>
    </row>
    <row r="63" spans="1:17">
      <c r="A63" s="1">
        <v>57</v>
      </c>
      <c r="B63" s="629">
        <f>Assistive_Products_Costs!B67</f>
        <v>0</v>
      </c>
      <c r="C63" s="2"/>
      <c r="D63" s="2">
        <f>Assistive_Products_Costs!C67</f>
        <v>0</v>
      </c>
      <c r="E63" s="938">
        <f t="shared" si="12"/>
        <v>0</v>
      </c>
      <c r="F63" s="938">
        <f t="shared" si="13"/>
        <v>0</v>
      </c>
      <c r="G63" s="938">
        <f t="shared" si="14"/>
        <v>0</v>
      </c>
      <c r="H63" s="938">
        <f t="shared" si="15"/>
        <v>0</v>
      </c>
      <c r="I63" s="938">
        <f t="shared" si="16"/>
        <v>0</v>
      </c>
      <c r="J63" s="939">
        <f t="shared" si="17"/>
        <v>0</v>
      </c>
      <c r="K63" s="495"/>
      <c r="L63" s="940" t="b">
        <f t="shared" si="18"/>
        <v>0</v>
      </c>
      <c r="M63" s="938" t="b">
        <f t="shared" si="19"/>
        <v>0</v>
      </c>
      <c r="N63" s="938" t="b">
        <f t="shared" si="20"/>
        <v>0</v>
      </c>
      <c r="O63" s="938" t="b">
        <f t="shared" si="21"/>
        <v>0</v>
      </c>
      <c r="P63" s="938" t="b">
        <f t="shared" si="22"/>
        <v>0</v>
      </c>
      <c r="Q63" s="939" t="b">
        <f t="shared" si="23"/>
        <v>0</v>
      </c>
    </row>
    <row r="64" spans="1:17">
      <c r="A64" s="1">
        <v>58</v>
      </c>
      <c r="B64" s="629">
        <f>Assistive_Products_Costs!B68</f>
        <v>0</v>
      </c>
      <c r="C64" s="2"/>
      <c r="D64" s="2">
        <f>Assistive_Products_Costs!C68</f>
        <v>0</v>
      </c>
      <c r="E64" s="938">
        <f t="shared" si="12"/>
        <v>0</v>
      </c>
      <c r="F64" s="938">
        <f t="shared" si="13"/>
        <v>0</v>
      </c>
      <c r="G64" s="938">
        <f t="shared" si="14"/>
        <v>0</v>
      </c>
      <c r="H64" s="938">
        <f t="shared" si="15"/>
        <v>0</v>
      </c>
      <c r="I64" s="938">
        <f t="shared" si="16"/>
        <v>0</v>
      </c>
      <c r="J64" s="939">
        <f t="shared" si="17"/>
        <v>0</v>
      </c>
      <c r="K64" s="495"/>
      <c r="L64" s="940" t="b">
        <f t="shared" si="18"/>
        <v>0</v>
      </c>
      <c r="M64" s="938" t="b">
        <f t="shared" si="19"/>
        <v>0</v>
      </c>
      <c r="N64" s="938" t="b">
        <f t="shared" si="20"/>
        <v>0</v>
      </c>
      <c r="O64" s="938" t="b">
        <f t="shared" si="21"/>
        <v>0</v>
      </c>
      <c r="P64" s="938" t="b">
        <f t="shared" si="22"/>
        <v>0</v>
      </c>
      <c r="Q64" s="939" t="b">
        <f t="shared" si="23"/>
        <v>0</v>
      </c>
    </row>
    <row r="65" spans="1:17">
      <c r="A65" s="1">
        <v>59</v>
      </c>
      <c r="B65" s="629">
        <f>Assistive_Products_Costs!B69</f>
        <v>0</v>
      </c>
      <c r="C65" s="2"/>
      <c r="D65" s="2">
        <f>Assistive_Products_Costs!C69</f>
        <v>0</v>
      </c>
      <c r="E65" s="938">
        <f t="shared" si="12"/>
        <v>0</v>
      </c>
      <c r="F65" s="938">
        <f t="shared" si="13"/>
        <v>0</v>
      </c>
      <c r="G65" s="938">
        <f t="shared" si="14"/>
        <v>0</v>
      </c>
      <c r="H65" s="938">
        <f t="shared" si="15"/>
        <v>0</v>
      </c>
      <c r="I65" s="938">
        <f t="shared" si="16"/>
        <v>0</v>
      </c>
      <c r="J65" s="939">
        <f t="shared" si="17"/>
        <v>0</v>
      </c>
      <c r="K65" s="495"/>
      <c r="L65" s="940" t="b">
        <f t="shared" si="18"/>
        <v>0</v>
      </c>
      <c r="M65" s="938" t="b">
        <f t="shared" si="19"/>
        <v>0</v>
      </c>
      <c r="N65" s="938" t="b">
        <f t="shared" si="20"/>
        <v>0</v>
      </c>
      <c r="O65" s="938" t="b">
        <f t="shared" si="21"/>
        <v>0</v>
      </c>
      <c r="P65" s="938" t="b">
        <f t="shared" si="22"/>
        <v>0</v>
      </c>
      <c r="Q65" s="939" t="b">
        <f t="shared" si="23"/>
        <v>0</v>
      </c>
    </row>
    <row r="66" spans="1:17">
      <c r="A66" s="1">
        <v>60</v>
      </c>
      <c r="B66" s="629">
        <f>Assistive_Products_Costs!B70</f>
        <v>0</v>
      </c>
      <c r="C66" s="2"/>
      <c r="D66" s="2">
        <f>Assistive_Products_Costs!C70</f>
        <v>0</v>
      </c>
      <c r="E66" s="938">
        <f t="shared" si="12"/>
        <v>0</v>
      </c>
      <c r="F66" s="938">
        <f t="shared" si="13"/>
        <v>0</v>
      </c>
      <c r="G66" s="938">
        <f t="shared" si="14"/>
        <v>0</v>
      </c>
      <c r="H66" s="938">
        <f t="shared" si="15"/>
        <v>0</v>
      </c>
      <c r="I66" s="938">
        <f t="shared" si="16"/>
        <v>0</v>
      </c>
      <c r="J66" s="939">
        <f t="shared" si="17"/>
        <v>0</v>
      </c>
      <c r="K66" s="495"/>
      <c r="L66" s="940" t="b">
        <f t="shared" si="18"/>
        <v>0</v>
      </c>
      <c r="M66" s="938" t="b">
        <f t="shared" si="19"/>
        <v>0</v>
      </c>
      <c r="N66" s="938" t="b">
        <f t="shared" si="20"/>
        <v>0</v>
      </c>
      <c r="O66" s="938" t="b">
        <f t="shared" si="21"/>
        <v>0</v>
      </c>
      <c r="P66" s="938" t="b">
        <f t="shared" si="22"/>
        <v>0</v>
      </c>
      <c r="Q66" s="939" t="b">
        <f t="shared" si="23"/>
        <v>0</v>
      </c>
    </row>
    <row r="67" spans="1:17">
      <c r="A67" s="1">
        <v>61</v>
      </c>
      <c r="B67" s="629">
        <f>Assistive_Products_Costs!B71</f>
        <v>0</v>
      </c>
      <c r="C67" s="2"/>
      <c r="D67" s="2">
        <f>Assistive_Products_Costs!C71</f>
        <v>0</v>
      </c>
      <c r="E67" s="938">
        <f t="shared" si="12"/>
        <v>0</v>
      </c>
      <c r="F67" s="938">
        <f t="shared" si="13"/>
        <v>0</v>
      </c>
      <c r="G67" s="938">
        <f t="shared" si="14"/>
        <v>0</v>
      </c>
      <c r="H67" s="938">
        <f t="shared" si="15"/>
        <v>0</v>
      </c>
      <c r="I67" s="938">
        <f t="shared" si="16"/>
        <v>0</v>
      </c>
      <c r="J67" s="939">
        <f t="shared" si="17"/>
        <v>0</v>
      </c>
      <c r="K67" s="495"/>
      <c r="L67" s="940" t="b">
        <f t="shared" si="18"/>
        <v>0</v>
      </c>
      <c r="M67" s="938" t="b">
        <f t="shared" si="19"/>
        <v>0</v>
      </c>
      <c r="N67" s="938" t="b">
        <f t="shared" si="20"/>
        <v>0</v>
      </c>
      <c r="O67" s="938" t="b">
        <f t="shared" si="21"/>
        <v>0</v>
      </c>
      <c r="P67" s="938" t="b">
        <f t="shared" si="22"/>
        <v>0</v>
      </c>
      <c r="Q67" s="939" t="b">
        <f t="shared" si="23"/>
        <v>0</v>
      </c>
    </row>
    <row r="68" spans="1:17">
      <c r="A68" s="1">
        <v>62</v>
      </c>
      <c r="B68" s="629">
        <f>Assistive_Products_Costs!B72</f>
        <v>0</v>
      </c>
      <c r="C68" s="2"/>
      <c r="D68" s="2">
        <f>Assistive_Products_Costs!C72</f>
        <v>0</v>
      </c>
      <c r="E68" s="938">
        <f t="shared" si="12"/>
        <v>0</v>
      </c>
      <c r="F68" s="938">
        <f t="shared" si="13"/>
        <v>0</v>
      </c>
      <c r="G68" s="938">
        <f t="shared" si="14"/>
        <v>0</v>
      </c>
      <c r="H68" s="938">
        <f t="shared" si="15"/>
        <v>0</v>
      </c>
      <c r="I68" s="938">
        <f t="shared" si="16"/>
        <v>0</v>
      </c>
      <c r="J68" s="939">
        <f t="shared" si="17"/>
        <v>0</v>
      </c>
      <c r="K68" s="495"/>
      <c r="L68" s="940" t="b">
        <f t="shared" si="18"/>
        <v>0</v>
      </c>
      <c r="M68" s="938" t="b">
        <f t="shared" si="19"/>
        <v>0</v>
      </c>
      <c r="N68" s="938" t="b">
        <f t="shared" si="20"/>
        <v>0</v>
      </c>
      <c r="O68" s="938" t="b">
        <f t="shared" si="21"/>
        <v>0</v>
      </c>
      <c r="P68" s="938" t="b">
        <f t="shared" si="22"/>
        <v>0</v>
      </c>
      <c r="Q68" s="939" t="b">
        <f t="shared" si="23"/>
        <v>0</v>
      </c>
    </row>
    <row r="69" spans="1:17">
      <c r="A69" s="1">
        <v>63</v>
      </c>
      <c r="B69" s="629">
        <f>Assistive_Products_Costs!B73</f>
        <v>0</v>
      </c>
      <c r="C69" s="2"/>
      <c r="D69" s="2">
        <f>Assistive_Products_Costs!C73</f>
        <v>0</v>
      </c>
      <c r="E69" s="938">
        <f t="shared" si="12"/>
        <v>0</v>
      </c>
      <c r="F69" s="938">
        <f t="shared" si="13"/>
        <v>0</v>
      </c>
      <c r="G69" s="938">
        <f t="shared" si="14"/>
        <v>0</v>
      </c>
      <c r="H69" s="938">
        <f t="shared" si="15"/>
        <v>0</v>
      </c>
      <c r="I69" s="938">
        <f t="shared" si="16"/>
        <v>0</v>
      </c>
      <c r="J69" s="939">
        <f t="shared" si="17"/>
        <v>0</v>
      </c>
      <c r="K69" s="495"/>
      <c r="L69" s="940" t="b">
        <f t="shared" si="18"/>
        <v>0</v>
      </c>
      <c r="M69" s="938" t="b">
        <f t="shared" si="19"/>
        <v>0</v>
      </c>
      <c r="N69" s="938" t="b">
        <f t="shared" si="20"/>
        <v>0</v>
      </c>
      <c r="O69" s="938" t="b">
        <f t="shared" si="21"/>
        <v>0</v>
      </c>
      <c r="P69" s="938" t="b">
        <f t="shared" si="22"/>
        <v>0</v>
      </c>
      <c r="Q69" s="939" t="b">
        <f t="shared" si="23"/>
        <v>0</v>
      </c>
    </row>
    <row r="70" spans="1:17">
      <c r="A70" s="1">
        <v>64</v>
      </c>
      <c r="B70" s="629">
        <f>Assistive_Products_Costs!B74</f>
        <v>0</v>
      </c>
      <c r="C70" s="2"/>
      <c r="D70" s="2">
        <f>Assistive_Products_Costs!C74</f>
        <v>0</v>
      </c>
      <c r="E70" s="938">
        <f t="shared" si="12"/>
        <v>0</v>
      </c>
      <c r="F70" s="938">
        <f t="shared" si="13"/>
        <v>0</v>
      </c>
      <c r="G70" s="938">
        <f t="shared" si="14"/>
        <v>0</v>
      </c>
      <c r="H70" s="938">
        <f t="shared" si="15"/>
        <v>0</v>
      </c>
      <c r="I70" s="938">
        <f t="shared" si="16"/>
        <v>0</v>
      </c>
      <c r="J70" s="939">
        <f t="shared" si="17"/>
        <v>0</v>
      </c>
      <c r="K70" s="495"/>
      <c r="L70" s="940" t="b">
        <f t="shared" si="18"/>
        <v>0</v>
      </c>
      <c r="M70" s="938" t="b">
        <f t="shared" si="19"/>
        <v>0</v>
      </c>
      <c r="N70" s="938" t="b">
        <f t="shared" si="20"/>
        <v>0</v>
      </c>
      <c r="O70" s="938" t="b">
        <f t="shared" si="21"/>
        <v>0</v>
      </c>
      <c r="P70" s="938" t="b">
        <f t="shared" si="22"/>
        <v>0</v>
      </c>
      <c r="Q70" s="939" t="b">
        <f t="shared" si="23"/>
        <v>0</v>
      </c>
    </row>
    <row r="71" spans="1:17">
      <c r="A71" s="1">
        <v>65</v>
      </c>
      <c r="B71" s="629">
        <f>Assistive_Products_Costs!B75</f>
        <v>0</v>
      </c>
      <c r="C71" s="2"/>
      <c r="D71" s="2">
        <f>Assistive_Products_Costs!C75</f>
        <v>0</v>
      </c>
      <c r="E71" s="938">
        <f t="shared" ref="E71:E106" si="24">SUMIF(stg_list,$B71,stg_unit1)</f>
        <v>0</v>
      </c>
      <c r="F71" s="938">
        <f t="shared" ref="F71:F106" si="25">SUMIF(stg_list,$B71,stg_unit2)</f>
        <v>0</v>
      </c>
      <c r="G71" s="938">
        <f t="shared" ref="G71:G106" si="26">SUMIF(stg_list,$B71,stg_unit3)</f>
        <v>0</v>
      </c>
      <c r="H71" s="938">
        <f t="shared" ref="H71:H106" si="27">SUMIF(stg_list,$B71,stg_unit4)</f>
        <v>0</v>
      </c>
      <c r="I71" s="938">
        <f t="shared" ref="I71:I106" si="28">SUMIF(stg_list,$B71,stg_unit5)</f>
        <v>0</v>
      </c>
      <c r="J71" s="939">
        <f t="shared" ref="J71:J106" si="29">SUMIF(stg_list,$B71,stg_unit6)</f>
        <v>0</v>
      </c>
      <c r="K71" s="495"/>
      <c r="L71" s="940" t="b">
        <f t="shared" ref="L71:L106" si="30">IF(currency_calculation=1,SUMIF(stg_list,$B71,stg_cost1),IF(currency_calculation=2,(SUMIF(stg_list,$B71,stg_cost1))*exchange_rate,IF(currency_calculation=3,(SUMIF(stg_list,$B71,stg_cost1))/exchange_rate)))</f>
        <v>0</v>
      </c>
      <c r="M71" s="938" t="b">
        <f t="shared" ref="M71:M106" si="31">IF(currency_calculation=1,SUMIF(stg_list,$B71,stg_cost2),IF(currency_calculation=2,(SUMIF(stg_list,$B71,stg_cost2))*exchange_rate,IF(currency_calculation=3,(SUMIF(stg_list,$B71,stg_cost2))/exchange_rate)))</f>
        <v>0</v>
      </c>
      <c r="N71" s="938" t="b">
        <f t="shared" ref="N71:N106" si="32">IF(currency_calculation=1,SUMIF(stg_list,$B71,stg_cost3),IF(currency_calculation=2,(SUMIF(stg_list,$B71,stg_cost3))*exchange_rate,IF(currency_calculation=3,(SUMIF(stg_list,$B71,stg_cost3))/exchange_rate)))</f>
        <v>0</v>
      </c>
      <c r="O71" s="938" t="b">
        <f t="shared" ref="O71:O106" si="33">IF(currency_calculation=1,SUMIF(stg_list,$B71,stg_cost4),IF(currency_calculation=2,(SUMIF(stg_list,$B71,stg_cost4))*exchange_rate,IF(currency_calculation=3,(SUMIF(stg_list,$B71,stg_cost4))/exchange_rate)))</f>
        <v>0</v>
      </c>
      <c r="P71" s="938" t="b">
        <f t="shared" ref="P71:P106" si="34">IF(currency_calculation=1,SUMIF(stg_list,$B71,stg_cost5),IF(currency_calculation=2,(SUMIF(stg_list,$B71,stg_cost5))*exchange_rate,IF(currency_calculation=3,(SUMIF(stg_list,$B71,stg_cost5))/exchange_rate)))</f>
        <v>0</v>
      </c>
      <c r="Q71" s="939" t="b">
        <f t="shared" ref="Q71:Q106" si="35">IF(currency_calculation=1,SUMIF(stg_list,$B71,stg_cost6),IF(currency_calculation=2,(SUMIF(stg_list,$B71,stg_cost6))*exchange_rate,IF(currency_calculation=3,(SUMIF(stg_list,$B71,stg_cost6))/exchange_rate)))</f>
        <v>0</v>
      </c>
    </row>
    <row r="72" spans="1:17">
      <c r="A72" s="1">
        <v>66</v>
      </c>
      <c r="B72" s="629">
        <f>Assistive_Products_Costs!B76</f>
        <v>0</v>
      </c>
      <c r="C72" s="2"/>
      <c r="D72" s="2">
        <f>Assistive_Products_Costs!C76</f>
        <v>0</v>
      </c>
      <c r="E72" s="938">
        <f t="shared" si="24"/>
        <v>0</v>
      </c>
      <c r="F72" s="938">
        <f t="shared" si="25"/>
        <v>0</v>
      </c>
      <c r="G72" s="938">
        <f t="shared" si="26"/>
        <v>0</v>
      </c>
      <c r="H72" s="938">
        <f t="shared" si="27"/>
        <v>0</v>
      </c>
      <c r="I72" s="938">
        <f t="shared" si="28"/>
        <v>0</v>
      </c>
      <c r="J72" s="939">
        <f t="shared" si="29"/>
        <v>0</v>
      </c>
      <c r="K72" s="495"/>
      <c r="L72" s="940" t="b">
        <f t="shared" si="30"/>
        <v>0</v>
      </c>
      <c r="M72" s="938" t="b">
        <f t="shared" si="31"/>
        <v>0</v>
      </c>
      <c r="N72" s="938" t="b">
        <f t="shared" si="32"/>
        <v>0</v>
      </c>
      <c r="O72" s="938" t="b">
        <f t="shared" si="33"/>
        <v>0</v>
      </c>
      <c r="P72" s="938" t="b">
        <f t="shared" si="34"/>
        <v>0</v>
      </c>
      <c r="Q72" s="939" t="b">
        <f t="shared" si="35"/>
        <v>0</v>
      </c>
    </row>
    <row r="73" spans="1:17">
      <c r="A73" s="1">
        <v>67</v>
      </c>
      <c r="B73" s="629">
        <f>Assistive_Products_Costs!B77</f>
        <v>0</v>
      </c>
      <c r="C73" s="2"/>
      <c r="D73" s="2">
        <f>Assistive_Products_Costs!C77</f>
        <v>0</v>
      </c>
      <c r="E73" s="938">
        <f t="shared" si="24"/>
        <v>0</v>
      </c>
      <c r="F73" s="938">
        <f t="shared" si="25"/>
        <v>0</v>
      </c>
      <c r="G73" s="938">
        <f t="shared" si="26"/>
        <v>0</v>
      </c>
      <c r="H73" s="938">
        <f t="shared" si="27"/>
        <v>0</v>
      </c>
      <c r="I73" s="938">
        <f t="shared" si="28"/>
        <v>0</v>
      </c>
      <c r="J73" s="939">
        <f t="shared" si="29"/>
        <v>0</v>
      </c>
      <c r="K73" s="495"/>
      <c r="L73" s="940" t="b">
        <f t="shared" si="30"/>
        <v>0</v>
      </c>
      <c r="M73" s="938" t="b">
        <f t="shared" si="31"/>
        <v>0</v>
      </c>
      <c r="N73" s="938" t="b">
        <f t="shared" si="32"/>
        <v>0</v>
      </c>
      <c r="O73" s="938" t="b">
        <f t="shared" si="33"/>
        <v>0</v>
      </c>
      <c r="P73" s="938" t="b">
        <f t="shared" si="34"/>
        <v>0</v>
      </c>
      <c r="Q73" s="939" t="b">
        <f t="shared" si="35"/>
        <v>0</v>
      </c>
    </row>
    <row r="74" spans="1:17">
      <c r="A74" s="1">
        <v>68</v>
      </c>
      <c r="B74" s="629">
        <f>Assistive_Products_Costs!B78</f>
        <v>0</v>
      </c>
      <c r="C74" s="2"/>
      <c r="D74" s="2">
        <f>Assistive_Products_Costs!C78</f>
        <v>0</v>
      </c>
      <c r="E74" s="938">
        <f t="shared" si="24"/>
        <v>0</v>
      </c>
      <c r="F74" s="938">
        <f t="shared" si="25"/>
        <v>0</v>
      </c>
      <c r="G74" s="938">
        <f t="shared" si="26"/>
        <v>0</v>
      </c>
      <c r="H74" s="938">
        <f t="shared" si="27"/>
        <v>0</v>
      </c>
      <c r="I74" s="938">
        <f t="shared" si="28"/>
        <v>0</v>
      </c>
      <c r="J74" s="939">
        <f t="shared" si="29"/>
        <v>0</v>
      </c>
      <c r="K74" s="495"/>
      <c r="L74" s="940" t="b">
        <f t="shared" si="30"/>
        <v>0</v>
      </c>
      <c r="M74" s="938" t="b">
        <f t="shared" si="31"/>
        <v>0</v>
      </c>
      <c r="N74" s="938" t="b">
        <f t="shared" si="32"/>
        <v>0</v>
      </c>
      <c r="O74" s="938" t="b">
        <f t="shared" si="33"/>
        <v>0</v>
      </c>
      <c r="P74" s="938" t="b">
        <f t="shared" si="34"/>
        <v>0</v>
      </c>
      <c r="Q74" s="939" t="b">
        <f t="shared" si="35"/>
        <v>0</v>
      </c>
    </row>
    <row r="75" spans="1:17">
      <c r="A75" s="1">
        <v>69</v>
      </c>
      <c r="B75" s="629">
        <f>Assistive_Products_Costs!B79</f>
        <v>0</v>
      </c>
      <c r="C75" s="2"/>
      <c r="D75" s="2">
        <f>Assistive_Products_Costs!C79</f>
        <v>0</v>
      </c>
      <c r="E75" s="938">
        <f t="shared" si="24"/>
        <v>0</v>
      </c>
      <c r="F75" s="938">
        <f t="shared" si="25"/>
        <v>0</v>
      </c>
      <c r="G75" s="938">
        <f t="shared" si="26"/>
        <v>0</v>
      </c>
      <c r="H75" s="938">
        <f t="shared" si="27"/>
        <v>0</v>
      </c>
      <c r="I75" s="938">
        <f t="shared" si="28"/>
        <v>0</v>
      </c>
      <c r="J75" s="939">
        <f t="shared" si="29"/>
        <v>0</v>
      </c>
      <c r="K75" s="495"/>
      <c r="L75" s="940" t="b">
        <f t="shared" si="30"/>
        <v>0</v>
      </c>
      <c r="M75" s="938" t="b">
        <f t="shared" si="31"/>
        <v>0</v>
      </c>
      <c r="N75" s="938" t="b">
        <f t="shared" si="32"/>
        <v>0</v>
      </c>
      <c r="O75" s="938" t="b">
        <f t="shared" si="33"/>
        <v>0</v>
      </c>
      <c r="P75" s="938" t="b">
        <f t="shared" si="34"/>
        <v>0</v>
      </c>
      <c r="Q75" s="939" t="b">
        <f t="shared" si="35"/>
        <v>0</v>
      </c>
    </row>
    <row r="76" spans="1:17">
      <c r="A76" s="1">
        <v>70</v>
      </c>
      <c r="B76" s="629">
        <f>Assistive_Products_Costs!B80</f>
        <v>0</v>
      </c>
      <c r="C76" s="2"/>
      <c r="D76" s="2">
        <f>Assistive_Products_Costs!C80</f>
        <v>0</v>
      </c>
      <c r="E76" s="938">
        <f t="shared" si="24"/>
        <v>0</v>
      </c>
      <c r="F76" s="938">
        <f t="shared" si="25"/>
        <v>0</v>
      </c>
      <c r="G76" s="938">
        <f t="shared" si="26"/>
        <v>0</v>
      </c>
      <c r="H76" s="938">
        <f t="shared" si="27"/>
        <v>0</v>
      </c>
      <c r="I76" s="938">
        <f t="shared" si="28"/>
        <v>0</v>
      </c>
      <c r="J76" s="939">
        <f t="shared" si="29"/>
        <v>0</v>
      </c>
      <c r="K76" s="495"/>
      <c r="L76" s="940" t="b">
        <f t="shared" si="30"/>
        <v>0</v>
      </c>
      <c r="M76" s="938" t="b">
        <f t="shared" si="31"/>
        <v>0</v>
      </c>
      <c r="N76" s="938" t="b">
        <f t="shared" si="32"/>
        <v>0</v>
      </c>
      <c r="O76" s="938" t="b">
        <f t="shared" si="33"/>
        <v>0</v>
      </c>
      <c r="P76" s="938" t="b">
        <f t="shared" si="34"/>
        <v>0</v>
      </c>
      <c r="Q76" s="939" t="b">
        <f t="shared" si="35"/>
        <v>0</v>
      </c>
    </row>
    <row r="77" spans="1:17">
      <c r="A77" s="1">
        <v>71</v>
      </c>
      <c r="B77" s="629">
        <f>Assistive_Products_Costs!B81</f>
        <v>0</v>
      </c>
      <c r="C77" s="2"/>
      <c r="D77" s="2">
        <f>Assistive_Products_Costs!C81</f>
        <v>0</v>
      </c>
      <c r="E77" s="938">
        <f t="shared" si="24"/>
        <v>0</v>
      </c>
      <c r="F77" s="938">
        <f t="shared" si="25"/>
        <v>0</v>
      </c>
      <c r="G77" s="938">
        <f t="shared" si="26"/>
        <v>0</v>
      </c>
      <c r="H77" s="938">
        <f t="shared" si="27"/>
        <v>0</v>
      </c>
      <c r="I77" s="938">
        <f t="shared" si="28"/>
        <v>0</v>
      </c>
      <c r="J77" s="939">
        <f t="shared" si="29"/>
        <v>0</v>
      </c>
      <c r="K77" s="495"/>
      <c r="L77" s="940" t="b">
        <f t="shared" si="30"/>
        <v>0</v>
      </c>
      <c r="M77" s="938" t="b">
        <f t="shared" si="31"/>
        <v>0</v>
      </c>
      <c r="N77" s="938" t="b">
        <f t="shared" si="32"/>
        <v>0</v>
      </c>
      <c r="O77" s="938" t="b">
        <f t="shared" si="33"/>
        <v>0</v>
      </c>
      <c r="P77" s="938" t="b">
        <f t="shared" si="34"/>
        <v>0</v>
      </c>
      <c r="Q77" s="939" t="b">
        <f t="shared" si="35"/>
        <v>0</v>
      </c>
    </row>
    <row r="78" spans="1:17">
      <c r="A78" s="1">
        <v>72</v>
      </c>
      <c r="B78" s="629">
        <f>Assistive_Products_Costs!B82</f>
        <v>0</v>
      </c>
      <c r="C78" s="2"/>
      <c r="D78" s="2">
        <f>Assistive_Products_Costs!C82</f>
        <v>0</v>
      </c>
      <c r="E78" s="938">
        <f t="shared" si="24"/>
        <v>0</v>
      </c>
      <c r="F78" s="938">
        <f t="shared" si="25"/>
        <v>0</v>
      </c>
      <c r="G78" s="938">
        <f t="shared" si="26"/>
        <v>0</v>
      </c>
      <c r="H78" s="938">
        <f t="shared" si="27"/>
        <v>0</v>
      </c>
      <c r="I78" s="938">
        <f t="shared" si="28"/>
        <v>0</v>
      </c>
      <c r="J78" s="939">
        <f t="shared" si="29"/>
        <v>0</v>
      </c>
      <c r="K78" s="495"/>
      <c r="L78" s="940" t="b">
        <f t="shared" si="30"/>
        <v>0</v>
      </c>
      <c r="M78" s="938" t="b">
        <f t="shared" si="31"/>
        <v>0</v>
      </c>
      <c r="N78" s="938" t="b">
        <f t="shared" si="32"/>
        <v>0</v>
      </c>
      <c r="O78" s="938" t="b">
        <f t="shared" si="33"/>
        <v>0</v>
      </c>
      <c r="P78" s="938" t="b">
        <f t="shared" si="34"/>
        <v>0</v>
      </c>
      <c r="Q78" s="939" t="b">
        <f t="shared" si="35"/>
        <v>0</v>
      </c>
    </row>
    <row r="79" spans="1:17">
      <c r="A79" s="1">
        <v>73</v>
      </c>
      <c r="B79" s="629">
        <f>Assistive_Products_Costs!B83</f>
        <v>0</v>
      </c>
      <c r="C79" s="2"/>
      <c r="D79" s="2">
        <f>Assistive_Products_Costs!C83</f>
        <v>0</v>
      </c>
      <c r="E79" s="938">
        <f t="shared" si="24"/>
        <v>0</v>
      </c>
      <c r="F79" s="938">
        <f t="shared" si="25"/>
        <v>0</v>
      </c>
      <c r="G79" s="938">
        <f t="shared" si="26"/>
        <v>0</v>
      </c>
      <c r="H79" s="938">
        <f t="shared" si="27"/>
        <v>0</v>
      </c>
      <c r="I79" s="938">
        <f t="shared" si="28"/>
        <v>0</v>
      </c>
      <c r="J79" s="939">
        <f t="shared" si="29"/>
        <v>0</v>
      </c>
      <c r="K79" s="495"/>
      <c r="L79" s="940" t="b">
        <f t="shared" si="30"/>
        <v>0</v>
      </c>
      <c r="M79" s="938" t="b">
        <f t="shared" si="31"/>
        <v>0</v>
      </c>
      <c r="N79" s="938" t="b">
        <f t="shared" si="32"/>
        <v>0</v>
      </c>
      <c r="O79" s="938" t="b">
        <f t="shared" si="33"/>
        <v>0</v>
      </c>
      <c r="P79" s="938" t="b">
        <f t="shared" si="34"/>
        <v>0</v>
      </c>
      <c r="Q79" s="939" t="b">
        <f t="shared" si="35"/>
        <v>0</v>
      </c>
    </row>
    <row r="80" spans="1:17">
      <c r="A80" s="1">
        <v>74</v>
      </c>
      <c r="B80" s="629">
        <f>Assistive_Products_Costs!B84</f>
        <v>0</v>
      </c>
      <c r="C80" s="2"/>
      <c r="D80" s="2">
        <f>Assistive_Products_Costs!C84</f>
        <v>0</v>
      </c>
      <c r="E80" s="938">
        <f t="shared" si="24"/>
        <v>0</v>
      </c>
      <c r="F80" s="938">
        <f t="shared" si="25"/>
        <v>0</v>
      </c>
      <c r="G80" s="938">
        <f t="shared" si="26"/>
        <v>0</v>
      </c>
      <c r="H80" s="938">
        <f t="shared" si="27"/>
        <v>0</v>
      </c>
      <c r="I80" s="938">
        <f t="shared" si="28"/>
        <v>0</v>
      </c>
      <c r="J80" s="939">
        <f t="shared" si="29"/>
        <v>0</v>
      </c>
      <c r="K80" s="495"/>
      <c r="L80" s="940" t="b">
        <f t="shared" si="30"/>
        <v>0</v>
      </c>
      <c r="M80" s="938" t="b">
        <f t="shared" si="31"/>
        <v>0</v>
      </c>
      <c r="N80" s="938" t="b">
        <f t="shared" si="32"/>
        <v>0</v>
      </c>
      <c r="O80" s="938" t="b">
        <f t="shared" si="33"/>
        <v>0</v>
      </c>
      <c r="P80" s="938" t="b">
        <f t="shared" si="34"/>
        <v>0</v>
      </c>
      <c r="Q80" s="939" t="b">
        <f t="shared" si="35"/>
        <v>0</v>
      </c>
    </row>
    <row r="81" spans="1:17">
      <c r="A81" s="1">
        <v>75</v>
      </c>
      <c r="B81" s="629">
        <f>Assistive_Products_Costs!B85</f>
        <v>0</v>
      </c>
      <c r="C81" s="2"/>
      <c r="D81" s="2">
        <f>Assistive_Products_Costs!C85</f>
        <v>0</v>
      </c>
      <c r="E81" s="938">
        <f t="shared" si="24"/>
        <v>0</v>
      </c>
      <c r="F81" s="938">
        <f t="shared" si="25"/>
        <v>0</v>
      </c>
      <c r="G81" s="938">
        <f t="shared" si="26"/>
        <v>0</v>
      </c>
      <c r="H81" s="938">
        <f t="shared" si="27"/>
        <v>0</v>
      </c>
      <c r="I81" s="938">
        <f t="shared" si="28"/>
        <v>0</v>
      </c>
      <c r="J81" s="939">
        <f t="shared" si="29"/>
        <v>0</v>
      </c>
      <c r="K81" s="495"/>
      <c r="L81" s="940" t="b">
        <f t="shared" si="30"/>
        <v>0</v>
      </c>
      <c r="M81" s="938" t="b">
        <f t="shared" si="31"/>
        <v>0</v>
      </c>
      <c r="N81" s="938" t="b">
        <f t="shared" si="32"/>
        <v>0</v>
      </c>
      <c r="O81" s="938" t="b">
        <f t="shared" si="33"/>
        <v>0</v>
      </c>
      <c r="P81" s="938" t="b">
        <f t="shared" si="34"/>
        <v>0</v>
      </c>
      <c r="Q81" s="939" t="b">
        <f t="shared" si="35"/>
        <v>0</v>
      </c>
    </row>
    <row r="82" spans="1:17">
      <c r="A82" s="1">
        <v>76</v>
      </c>
      <c r="B82" s="629">
        <f>Assistive_Products_Costs!B86</f>
        <v>0</v>
      </c>
      <c r="C82" s="2"/>
      <c r="D82" s="2">
        <f>Assistive_Products_Costs!C86</f>
        <v>0</v>
      </c>
      <c r="E82" s="938">
        <f t="shared" si="24"/>
        <v>0</v>
      </c>
      <c r="F82" s="938">
        <f t="shared" si="25"/>
        <v>0</v>
      </c>
      <c r="G82" s="938">
        <f t="shared" si="26"/>
        <v>0</v>
      </c>
      <c r="H82" s="938">
        <f t="shared" si="27"/>
        <v>0</v>
      </c>
      <c r="I82" s="938">
        <f t="shared" si="28"/>
        <v>0</v>
      </c>
      <c r="J82" s="939">
        <f t="shared" si="29"/>
        <v>0</v>
      </c>
      <c r="K82" s="495"/>
      <c r="L82" s="940" t="b">
        <f t="shared" si="30"/>
        <v>0</v>
      </c>
      <c r="M82" s="938" t="b">
        <f t="shared" si="31"/>
        <v>0</v>
      </c>
      <c r="N82" s="938" t="b">
        <f t="shared" si="32"/>
        <v>0</v>
      </c>
      <c r="O82" s="938" t="b">
        <f t="shared" si="33"/>
        <v>0</v>
      </c>
      <c r="P82" s="938" t="b">
        <f t="shared" si="34"/>
        <v>0</v>
      </c>
      <c r="Q82" s="939" t="b">
        <f t="shared" si="35"/>
        <v>0</v>
      </c>
    </row>
    <row r="83" spans="1:17">
      <c r="A83" s="1">
        <v>77</v>
      </c>
      <c r="B83" s="629">
        <f>Assistive_Products_Costs!B87</f>
        <v>0</v>
      </c>
      <c r="C83" s="2"/>
      <c r="D83" s="2">
        <f>Assistive_Products_Costs!C87</f>
        <v>0</v>
      </c>
      <c r="E83" s="938">
        <f t="shared" si="24"/>
        <v>0</v>
      </c>
      <c r="F83" s="938">
        <f t="shared" si="25"/>
        <v>0</v>
      </c>
      <c r="G83" s="938">
        <f t="shared" si="26"/>
        <v>0</v>
      </c>
      <c r="H83" s="938">
        <f t="shared" si="27"/>
        <v>0</v>
      </c>
      <c r="I83" s="938">
        <f t="shared" si="28"/>
        <v>0</v>
      </c>
      <c r="J83" s="939">
        <f t="shared" si="29"/>
        <v>0</v>
      </c>
      <c r="K83" s="495"/>
      <c r="L83" s="940" t="b">
        <f t="shared" si="30"/>
        <v>0</v>
      </c>
      <c r="M83" s="938" t="b">
        <f t="shared" si="31"/>
        <v>0</v>
      </c>
      <c r="N83" s="938" t="b">
        <f t="shared" si="32"/>
        <v>0</v>
      </c>
      <c r="O83" s="938" t="b">
        <f t="shared" si="33"/>
        <v>0</v>
      </c>
      <c r="P83" s="938" t="b">
        <f t="shared" si="34"/>
        <v>0</v>
      </c>
      <c r="Q83" s="939" t="b">
        <f t="shared" si="35"/>
        <v>0</v>
      </c>
    </row>
    <row r="84" spans="1:17">
      <c r="A84" s="1">
        <v>78</v>
      </c>
      <c r="B84" s="629">
        <f>Assistive_Products_Costs!B88</f>
        <v>0</v>
      </c>
      <c r="C84" s="2"/>
      <c r="D84" s="2">
        <f>Assistive_Products_Costs!C88</f>
        <v>0</v>
      </c>
      <c r="E84" s="938">
        <f t="shared" si="24"/>
        <v>0</v>
      </c>
      <c r="F84" s="938">
        <f t="shared" si="25"/>
        <v>0</v>
      </c>
      <c r="G84" s="938">
        <f t="shared" si="26"/>
        <v>0</v>
      </c>
      <c r="H84" s="938">
        <f t="shared" si="27"/>
        <v>0</v>
      </c>
      <c r="I84" s="938">
        <f t="shared" si="28"/>
        <v>0</v>
      </c>
      <c r="J84" s="939">
        <f t="shared" si="29"/>
        <v>0</v>
      </c>
      <c r="K84" s="495"/>
      <c r="L84" s="940" t="b">
        <f t="shared" si="30"/>
        <v>0</v>
      </c>
      <c r="M84" s="938" t="b">
        <f t="shared" si="31"/>
        <v>0</v>
      </c>
      <c r="N84" s="938" t="b">
        <f t="shared" si="32"/>
        <v>0</v>
      </c>
      <c r="O84" s="938" t="b">
        <f t="shared" si="33"/>
        <v>0</v>
      </c>
      <c r="P84" s="938" t="b">
        <f t="shared" si="34"/>
        <v>0</v>
      </c>
      <c r="Q84" s="939" t="b">
        <f t="shared" si="35"/>
        <v>0</v>
      </c>
    </row>
    <row r="85" spans="1:17">
      <c r="A85" s="1">
        <v>79</v>
      </c>
      <c r="B85" s="629">
        <f>Assistive_Products_Costs!B89</f>
        <v>0</v>
      </c>
      <c r="C85" s="2"/>
      <c r="D85" s="2">
        <f>Assistive_Products_Costs!C89</f>
        <v>0</v>
      </c>
      <c r="E85" s="938">
        <f t="shared" si="24"/>
        <v>0</v>
      </c>
      <c r="F85" s="938">
        <f t="shared" si="25"/>
        <v>0</v>
      </c>
      <c r="G85" s="938">
        <f t="shared" si="26"/>
        <v>0</v>
      </c>
      <c r="H85" s="938">
        <f t="shared" si="27"/>
        <v>0</v>
      </c>
      <c r="I85" s="938">
        <f t="shared" si="28"/>
        <v>0</v>
      </c>
      <c r="J85" s="939">
        <f t="shared" si="29"/>
        <v>0</v>
      </c>
      <c r="K85" s="495"/>
      <c r="L85" s="940" t="b">
        <f t="shared" si="30"/>
        <v>0</v>
      </c>
      <c r="M85" s="938" t="b">
        <f t="shared" si="31"/>
        <v>0</v>
      </c>
      <c r="N85" s="938" t="b">
        <f t="shared" si="32"/>
        <v>0</v>
      </c>
      <c r="O85" s="938" t="b">
        <f t="shared" si="33"/>
        <v>0</v>
      </c>
      <c r="P85" s="938" t="b">
        <f t="shared" si="34"/>
        <v>0</v>
      </c>
      <c r="Q85" s="939" t="b">
        <f t="shared" si="35"/>
        <v>0</v>
      </c>
    </row>
    <row r="86" spans="1:17">
      <c r="A86" s="1">
        <v>80</v>
      </c>
      <c r="B86" s="629">
        <f>Assistive_Products_Costs!B90</f>
        <v>0</v>
      </c>
      <c r="C86" s="2"/>
      <c r="D86" s="2">
        <f>Assistive_Products_Costs!C90</f>
        <v>0</v>
      </c>
      <c r="E86" s="938">
        <f t="shared" si="24"/>
        <v>0</v>
      </c>
      <c r="F86" s="938">
        <f t="shared" si="25"/>
        <v>0</v>
      </c>
      <c r="G86" s="938">
        <f t="shared" si="26"/>
        <v>0</v>
      </c>
      <c r="H86" s="938">
        <f t="shared" si="27"/>
        <v>0</v>
      </c>
      <c r="I86" s="938">
        <f t="shared" si="28"/>
        <v>0</v>
      </c>
      <c r="J86" s="939">
        <f t="shared" si="29"/>
        <v>0</v>
      </c>
      <c r="K86" s="495"/>
      <c r="L86" s="940" t="b">
        <f t="shared" si="30"/>
        <v>0</v>
      </c>
      <c r="M86" s="938" t="b">
        <f t="shared" si="31"/>
        <v>0</v>
      </c>
      <c r="N86" s="938" t="b">
        <f t="shared" si="32"/>
        <v>0</v>
      </c>
      <c r="O86" s="938" t="b">
        <f t="shared" si="33"/>
        <v>0</v>
      </c>
      <c r="P86" s="938" t="b">
        <f t="shared" si="34"/>
        <v>0</v>
      </c>
      <c r="Q86" s="939" t="b">
        <f t="shared" si="35"/>
        <v>0</v>
      </c>
    </row>
    <row r="87" spans="1:17">
      <c r="A87" s="1">
        <v>81</v>
      </c>
      <c r="B87" s="629">
        <f>Assistive_Products_Costs!B91</f>
        <v>0</v>
      </c>
      <c r="C87" s="2"/>
      <c r="D87" s="2">
        <f>Assistive_Products_Costs!C91</f>
        <v>0</v>
      </c>
      <c r="E87" s="938">
        <f t="shared" si="24"/>
        <v>0</v>
      </c>
      <c r="F87" s="938">
        <f t="shared" si="25"/>
        <v>0</v>
      </c>
      <c r="G87" s="938">
        <f t="shared" si="26"/>
        <v>0</v>
      </c>
      <c r="H87" s="938">
        <f t="shared" si="27"/>
        <v>0</v>
      </c>
      <c r="I87" s="938">
        <f t="shared" si="28"/>
        <v>0</v>
      </c>
      <c r="J87" s="939">
        <f t="shared" si="29"/>
        <v>0</v>
      </c>
      <c r="K87" s="495"/>
      <c r="L87" s="940" t="b">
        <f t="shared" si="30"/>
        <v>0</v>
      </c>
      <c r="M87" s="938" t="b">
        <f t="shared" si="31"/>
        <v>0</v>
      </c>
      <c r="N87" s="938" t="b">
        <f t="shared" si="32"/>
        <v>0</v>
      </c>
      <c r="O87" s="938" t="b">
        <f t="shared" si="33"/>
        <v>0</v>
      </c>
      <c r="P87" s="938" t="b">
        <f t="shared" si="34"/>
        <v>0</v>
      </c>
      <c r="Q87" s="939" t="b">
        <f t="shared" si="35"/>
        <v>0</v>
      </c>
    </row>
    <row r="88" spans="1:17">
      <c r="A88" s="1">
        <v>82</v>
      </c>
      <c r="B88" s="629">
        <f>Assistive_Products_Costs!B92</f>
        <v>0</v>
      </c>
      <c r="C88" s="2"/>
      <c r="D88" s="2">
        <f>Assistive_Products_Costs!C92</f>
        <v>0</v>
      </c>
      <c r="E88" s="938">
        <f t="shared" si="24"/>
        <v>0</v>
      </c>
      <c r="F88" s="938">
        <f t="shared" si="25"/>
        <v>0</v>
      </c>
      <c r="G88" s="938">
        <f t="shared" si="26"/>
        <v>0</v>
      </c>
      <c r="H88" s="938">
        <f t="shared" si="27"/>
        <v>0</v>
      </c>
      <c r="I88" s="938">
        <f t="shared" si="28"/>
        <v>0</v>
      </c>
      <c r="J88" s="939">
        <f t="shared" si="29"/>
        <v>0</v>
      </c>
      <c r="K88" s="495"/>
      <c r="L88" s="940" t="b">
        <f t="shared" si="30"/>
        <v>0</v>
      </c>
      <c r="M88" s="938" t="b">
        <f t="shared" si="31"/>
        <v>0</v>
      </c>
      <c r="N88" s="938" t="b">
        <f t="shared" si="32"/>
        <v>0</v>
      </c>
      <c r="O88" s="938" t="b">
        <f t="shared" si="33"/>
        <v>0</v>
      </c>
      <c r="P88" s="938" t="b">
        <f t="shared" si="34"/>
        <v>0</v>
      </c>
      <c r="Q88" s="939" t="b">
        <f t="shared" si="35"/>
        <v>0</v>
      </c>
    </row>
    <row r="89" spans="1:17">
      <c r="A89" s="1">
        <v>83</v>
      </c>
      <c r="B89" s="629">
        <f>Assistive_Products_Costs!B93</f>
        <v>0</v>
      </c>
      <c r="C89" s="2"/>
      <c r="D89" s="2">
        <f>Assistive_Products_Costs!C93</f>
        <v>0</v>
      </c>
      <c r="E89" s="938">
        <f t="shared" si="24"/>
        <v>0</v>
      </c>
      <c r="F89" s="938">
        <f t="shared" si="25"/>
        <v>0</v>
      </c>
      <c r="G89" s="938">
        <f t="shared" si="26"/>
        <v>0</v>
      </c>
      <c r="H89" s="938">
        <f t="shared" si="27"/>
        <v>0</v>
      </c>
      <c r="I89" s="938">
        <f t="shared" si="28"/>
        <v>0</v>
      </c>
      <c r="J89" s="939">
        <f t="shared" si="29"/>
        <v>0</v>
      </c>
      <c r="K89" s="495"/>
      <c r="L89" s="940" t="b">
        <f t="shared" si="30"/>
        <v>0</v>
      </c>
      <c r="M89" s="938" t="b">
        <f t="shared" si="31"/>
        <v>0</v>
      </c>
      <c r="N89" s="938" t="b">
        <f t="shared" si="32"/>
        <v>0</v>
      </c>
      <c r="O89" s="938" t="b">
        <f t="shared" si="33"/>
        <v>0</v>
      </c>
      <c r="P89" s="938" t="b">
        <f t="shared" si="34"/>
        <v>0</v>
      </c>
      <c r="Q89" s="939" t="b">
        <f t="shared" si="35"/>
        <v>0</v>
      </c>
    </row>
    <row r="90" spans="1:17">
      <c r="A90" s="1">
        <v>84</v>
      </c>
      <c r="B90" s="629">
        <f>Assistive_Products_Costs!B94</f>
        <v>0</v>
      </c>
      <c r="C90" s="2"/>
      <c r="D90" s="2">
        <f>Assistive_Products_Costs!C94</f>
        <v>0</v>
      </c>
      <c r="E90" s="938">
        <f t="shared" si="24"/>
        <v>0</v>
      </c>
      <c r="F90" s="938">
        <f t="shared" si="25"/>
        <v>0</v>
      </c>
      <c r="G90" s="938">
        <f t="shared" si="26"/>
        <v>0</v>
      </c>
      <c r="H90" s="938">
        <f t="shared" si="27"/>
        <v>0</v>
      </c>
      <c r="I90" s="938">
        <f t="shared" si="28"/>
        <v>0</v>
      </c>
      <c r="J90" s="939">
        <f t="shared" si="29"/>
        <v>0</v>
      </c>
      <c r="K90" s="495"/>
      <c r="L90" s="940" t="b">
        <f t="shared" si="30"/>
        <v>0</v>
      </c>
      <c r="M90" s="938" t="b">
        <f t="shared" si="31"/>
        <v>0</v>
      </c>
      <c r="N90" s="938" t="b">
        <f t="shared" si="32"/>
        <v>0</v>
      </c>
      <c r="O90" s="938" t="b">
        <f t="shared" si="33"/>
        <v>0</v>
      </c>
      <c r="P90" s="938" t="b">
        <f t="shared" si="34"/>
        <v>0</v>
      </c>
      <c r="Q90" s="939" t="b">
        <f t="shared" si="35"/>
        <v>0</v>
      </c>
    </row>
    <row r="91" spans="1:17">
      <c r="A91" s="1">
        <v>85</v>
      </c>
      <c r="B91" s="629">
        <f>Assistive_Products_Costs!B95</f>
        <v>0</v>
      </c>
      <c r="C91" s="2"/>
      <c r="D91" s="2">
        <f>Assistive_Products_Costs!C95</f>
        <v>0</v>
      </c>
      <c r="E91" s="938">
        <f t="shared" si="24"/>
        <v>0</v>
      </c>
      <c r="F91" s="938">
        <f t="shared" si="25"/>
        <v>0</v>
      </c>
      <c r="G91" s="938">
        <f t="shared" si="26"/>
        <v>0</v>
      </c>
      <c r="H91" s="938">
        <f t="shared" si="27"/>
        <v>0</v>
      </c>
      <c r="I91" s="938">
        <f t="shared" si="28"/>
        <v>0</v>
      </c>
      <c r="J91" s="939">
        <f t="shared" si="29"/>
        <v>0</v>
      </c>
      <c r="K91" s="495"/>
      <c r="L91" s="940" t="b">
        <f t="shared" si="30"/>
        <v>0</v>
      </c>
      <c r="M91" s="938" t="b">
        <f t="shared" si="31"/>
        <v>0</v>
      </c>
      <c r="N91" s="938" t="b">
        <f t="shared" si="32"/>
        <v>0</v>
      </c>
      <c r="O91" s="938" t="b">
        <f t="shared" si="33"/>
        <v>0</v>
      </c>
      <c r="P91" s="938" t="b">
        <f t="shared" si="34"/>
        <v>0</v>
      </c>
      <c r="Q91" s="939" t="b">
        <f t="shared" si="35"/>
        <v>0</v>
      </c>
    </row>
    <row r="92" spans="1:17">
      <c r="A92" s="1">
        <v>86</v>
      </c>
      <c r="B92" s="629">
        <f>Assistive_Products_Costs!B96</f>
        <v>0</v>
      </c>
      <c r="C92" s="2"/>
      <c r="D92" s="2">
        <f>Assistive_Products_Costs!C96</f>
        <v>0</v>
      </c>
      <c r="E92" s="938">
        <f t="shared" si="24"/>
        <v>0</v>
      </c>
      <c r="F92" s="938">
        <f t="shared" si="25"/>
        <v>0</v>
      </c>
      <c r="G92" s="938">
        <f t="shared" si="26"/>
        <v>0</v>
      </c>
      <c r="H92" s="938">
        <f t="shared" si="27"/>
        <v>0</v>
      </c>
      <c r="I92" s="938">
        <f t="shared" si="28"/>
        <v>0</v>
      </c>
      <c r="J92" s="939">
        <f t="shared" si="29"/>
        <v>0</v>
      </c>
      <c r="K92" s="495"/>
      <c r="L92" s="940" t="b">
        <f t="shared" si="30"/>
        <v>0</v>
      </c>
      <c r="M92" s="938" t="b">
        <f t="shared" si="31"/>
        <v>0</v>
      </c>
      <c r="N92" s="938" t="b">
        <f t="shared" si="32"/>
        <v>0</v>
      </c>
      <c r="O92" s="938" t="b">
        <f t="shared" si="33"/>
        <v>0</v>
      </c>
      <c r="P92" s="938" t="b">
        <f t="shared" si="34"/>
        <v>0</v>
      </c>
      <c r="Q92" s="939" t="b">
        <f t="shared" si="35"/>
        <v>0</v>
      </c>
    </row>
    <row r="93" spans="1:17">
      <c r="A93" s="1">
        <v>87</v>
      </c>
      <c r="B93" s="629">
        <f>Assistive_Products_Costs!B97</f>
        <v>0</v>
      </c>
      <c r="C93" s="2"/>
      <c r="D93" s="2">
        <f>Assistive_Products_Costs!C97</f>
        <v>0</v>
      </c>
      <c r="E93" s="938">
        <f t="shared" si="24"/>
        <v>0</v>
      </c>
      <c r="F93" s="938">
        <f t="shared" si="25"/>
        <v>0</v>
      </c>
      <c r="G93" s="938">
        <f t="shared" si="26"/>
        <v>0</v>
      </c>
      <c r="H93" s="938">
        <f t="shared" si="27"/>
        <v>0</v>
      </c>
      <c r="I93" s="938">
        <f t="shared" si="28"/>
        <v>0</v>
      </c>
      <c r="J93" s="939">
        <f t="shared" si="29"/>
        <v>0</v>
      </c>
      <c r="K93" s="495"/>
      <c r="L93" s="940" t="b">
        <f t="shared" si="30"/>
        <v>0</v>
      </c>
      <c r="M93" s="938" t="b">
        <f t="shared" si="31"/>
        <v>0</v>
      </c>
      <c r="N93" s="938" t="b">
        <f t="shared" si="32"/>
        <v>0</v>
      </c>
      <c r="O93" s="938" t="b">
        <f t="shared" si="33"/>
        <v>0</v>
      </c>
      <c r="P93" s="938" t="b">
        <f t="shared" si="34"/>
        <v>0</v>
      </c>
      <c r="Q93" s="939" t="b">
        <f t="shared" si="35"/>
        <v>0</v>
      </c>
    </row>
    <row r="94" spans="1:17">
      <c r="A94" s="1">
        <v>88</v>
      </c>
      <c r="B94" s="629">
        <f>Assistive_Products_Costs!B98</f>
        <v>0</v>
      </c>
      <c r="C94" s="2"/>
      <c r="D94" s="2">
        <f>Assistive_Products_Costs!C98</f>
        <v>0</v>
      </c>
      <c r="E94" s="938">
        <f t="shared" si="24"/>
        <v>0</v>
      </c>
      <c r="F94" s="938">
        <f t="shared" si="25"/>
        <v>0</v>
      </c>
      <c r="G94" s="938">
        <f t="shared" si="26"/>
        <v>0</v>
      </c>
      <c r="H94" s="938">
        <f t="shared" si="27"/>
        <v>0</v>
      </c>
      <c r="I94" s="938">
        <f t="shared" si="28"/>
        <v>0</v>
      </c>
      <c r="J94" s="939">
        <f t="shared" si="29"/>
        <v>0</v>
      </c>
      <c r="K94" s="495"/>
      <c r="L94" s="940" t="b">
        <f t="shared" si="30"/>
        <v>0</v>
      </c>
      <c r="M94" s="938" t="b">
        <f t="shared" si="31"/>
        <v>0</v>
      </c>
      <c r="N94" s="938" t="b">
        <f t="shared" si="32"/>
        <v>0</v>
      </c>
      <c r="O94" s="938" t="b">
        <f t="shared" si="33"/>
        <v>0</v>
      </c>
      <c r="P94" s="938" t="b">
        <f t="shared" si="34"/>
        <v>0</v>
      </c>
      <c r="Q94" s="939" t="b">
        <f t="shared" si="35"/>
        <v>0</v>
      </c>
    </row>
    <row r="95" spans="1:17">
      <c r="A95" s="1">
        <v>89</v>
      </c>
      <c r="B95" s="629">
        <f>Assistive_Products_Costs!B99</f>
        <v>0</v>
      </c>
      <c r="C95" s="2"/>
      <c r="D95" s="2">
        <f>Assistive_Products_Costs!C99</f>
        <v>0</v>
      </c>
      <c r="E95" s="938">
        <f t="shared" si="24"/>
        <v>0</v>
      </c>
      <c r="F95" s="938">
        <f t="shared" si="25"/>
        <v>0</v>
      </c>
      <c r="G95" s="938">
        <f t="shared" si="26"/>
        <v>0</v>
      </c>
      <c r="H95" s="938">
        <f t="shared" si="27"/>
        <v>0</v>
      </c>
      <c r="I95" s="938">
        <f t="shared" si="28"/>
        <v>0</v>
      </c>
      <c r="J95" s="939">
        <f t="shared" si="29"/>
        <v>0</v>
      </c>
      <c r="K95" s="495"/>
      <c r="L95" s="940" t="b">
        <f t="shared" si="30"/>
        <v>0</v>
      </c>
      <c r="M95" s="938" t="b">
        <f t="shared" si="31"/>
        <v>0</v>
      </c>
      <c r="N95" s="938" t="b">
        <f t="shared" si="32"/>
        <v>0</v>
      </c>
      <c r="O95" s="938" t="b">
        <f t="shared" si="33"/>
        <v>0</v>
      </c>
      <c r="P95" s="938" t="b">
        <f t="shared" si="34"/>
        <v>0</v>
      </c>
      <c r="Q95" s="939" t="b">
        <f t="shared" si="35"/>
        <v>0</v>
      </c>
    </row>
    <row r="96" spans="1:17">
      <c r="A96" s="1">
        <v>90</v>
      </c>
      <c r="B96" s="629">
        <f>Assistive_Products_Costs!B100</f>
        <v>0</v>
      </c>
      <c r="C96" s="2"/>
      <c r="D96" s="2">
        <f>Assistive_Products_Costs!C100</f>
        <v>0</v>
      </c>
      <c r="E96" s="938">
        <f t="shared" si="24"/>
        <v>0</v>
      </c>
      <c r="F96" s="938">
        <f t="shared" si="25"/>
        <v>0</v>
      </c>
      <c r="G96" s="938">
        <f t="shared" si="26"/>
        <v>0</v>
      </c>
      <c r="H96" s="938">
        <f t="shared" si="27"/>
        <v>0</v>
      </c>
      <c r="I96" s="938">
        <f t="shared" si="28"/>
        <v>0</v>
      </c>
      <c r="J96" s="939">
        <f t="shared" si="29"/>
        <v>0</v>
      </c>
      <c r="K96" s="495"/>
      <c r="L96" s="940" t="b">
        <f t="shared" si="30"/>
        <v>0</v>
      </c>
      <c r="M96" s="938" t="b">
        <f t="shared" si="31"/>
        <v>0</v>
      </c>
      <c r="N96" s="938" t="b">
        <f t="shared" si="32"/>
        <v>0</v>
      </c>
      <c r="O96" s="938" t="b">
        <f t="shared" si="33"/>
        <v>0</v>
      </c>
      <c r="P96" s="938" t="b">
        <f t="shared" si="34"/>
        <v>0</v>
      </c>
      <c r="Q96" s="939" t="b">
        <f t="shared" si="35"/>
        <v>0</v>
      </c>
    </row>
    <row r="97" spans="1:17">
      <c r="A97" s="1">
        <v>91</v>
      </c>
      <c r="B97" s="629">
        <f>Assistive_Products_Costs!B101</f>
        <v>0</v>
      </c>
      <c r="C97" s="2"/>
      <c r="D97" s="2">
        <f>Assistive_Products_Costs!C101</f>
        <v>0</v>
      </c>
      <c r="E97" s="938">
        <f t="shared" si="24"/>
        <v>0</v>
      </c>
      <c r="F97" s="938">
        <f t="shared" si="25"/>
        <v>0</v>
      </c>
      <c r="G97" s="938">
        <f t="shared" si="26"/>
        <v>0</v>
      </c>
      <c r="H97" s="938">
        <f t="shared" si="27"/>
        <v>0</v>
      </c>
      <c r="I97" s="938">
        <f t="shared" si="28"/>
        <v>0</v>
      </c>
      <c r="J97" s="939">
        <f t="shared" si="29"/>
        <v>0</v>
      </c>
      <c r="K97" s="495"/>
      <c r="L97" s="940" t="b">
        <f t="shared" si="30"/>
        <v>0</v>
      </c>
      <c r="M97" s="938" t="b">
        <f t="shared" si="31"/>
        <v>0</v>
      </c>
      <c r="N97" s="938" t="b">
        <f t="shared" si="32"/>
        <v>0</v>
      </c>
      <c r="O97" s="938" t="b">
        <f t="shared" si="33"/>
        <v>0</v>
      </c>
      <c r="P97" s="938" t="b">
        <f t="shared" si="34"/>
        <v>0</v>
      </c>
      <c r="Q97" s="939" t="b">
        <f t="shared" si="35"/>
        <v>0</v>
      </c>
    </row>
    <row r="98" spans="1:17">
      <c r="A98" s="1">
        <v>92</v>
      </c>
      <c r="B98" s="629">
        <f>Assistive_Products_Costs!B102</f>
        <v>0</v>
      </c>
      <c r="C98" s="2"/>
      <c r="D98" s="2">
        <f>Assistive_Products_Costs!C102</f>
        <v>0</v>
      </c>
      <c r="E98" s="938">
        <f t="shared" si="24"/>
        <v>0</v>
      </c>
      <c r="F98" s="938">
        <f t="shared" si="25"/>
        <v>0</v>
      </c>
      <c r="G98" s="938">
        <f t="shared" si="26"/>
        <v>0</v>
      </c>
      <c r="H98" s="938">
        <f t="shared" si="27"/>
        <v>0</v>
      </c>
      <c r="I98" s="938">
        <f t="shared" si="28"/>
        <v>0</v>
      </c>
      <c r="J98" s="939">
        <f t="shared" si="29"/>
        <v>0</v>
      </c>
      <c r="K98" s="495"/>
      <c r="L98" s="940" t="b">
        <f t="shared" si="30"/>
        <v>0</v>
      </c>
      <c r="M98" s="938" t="b">
        <f t="shared" si="31"/>
        <v>0</v>
      </c>
      <c r="N98" s="938" t="b">
        <f t="shared" si="32"/>
        <v>0</v>
      </c>
      <c r="O98" s="938" t="b">
        <f t="shared" si="33"/>
        <v>0</v>
      </c>
      <c r="P98" s="938" t="b">
        <f t="shared" si="34"/>
        <v>0</v>
      </c>
      <c r="Q98" s="939" t="b">
        <f t="shared" si="35"/>
        <v>0</v>
      </c>
    </row>
    <row r="99" spans="1:17">
      <c r="A99" s="1">
        <v>93</v>
      </c>
      <c r="B99" s="629">
        <f>Assistive_Products_Costs!B103</f>
        <v>0</v>
      </c>
      <c r="C99" s="2"/>
      <c r="D99" s="2">
        <f>Assistive_Products_Costs!C103</f>
        <v>0</v>
      </c>
      <c r="E99" s="938">
        <f t="shared" si="24"/>
        <v>0</v>
      </c>
      <c r="F99" s="938">
        <f t="shared" si="25"/>
        <v>0</v>
      </c>
      <c r="G99" s="938">
        <f t="shared" si="26"/>
        <v>0</v>
      </c>
      <c r="H99" s="938">
        <f t="shared" si="27"/>
        <v>0</v>
      </c>
      <c r="I99" s="938">
        <f t="shared" si="28"/>
        <v>0</v>
      </c>
      <c r="J99" s="939">
        <f t="shared" si="29"/>
        <v>0</v>
      </c>
      <c r="K99" s="495"/>
      <c r="L99" s="940" t="b">
        <f t="shared" si="30"/>
        <v>0</v>
      </c>
      <c r="M99" s="938" t="b">
        <f t="shared" si="31"/>
        <v>0</v>
      </c>
      <c r="N99" s="938" t="b">
        <f t="shared" si="32"/>
        <v>0</v>
      </c>
      <c r="O99" s="938" t="b">
        <f t="shared" si="33"/>
        <v>0</v>
      </c>
      <c r="P99" s="938" t="b">
        <f t="shared" si="34"/>
        <v>0</v>
      </c>
      <c r="Q99" s="939" t="b">
        <f t="shared" si="35"/>
        <v>0</v>
      </c>
    </row>
    <row r="100" spans="1:17">
      <c r="A100" s="1">
        <v>94</v>
      </c>
      <c r="B100" s="629">
        <f>Assistive_Products_Costs!B104</f>
        <v>0</v>
      </c>
      <c r="C100" s="2"/>
      <c r="D100" s="2">
        <f>Assistive_Products_Costs!C104</f>
        <v>0</v>
      </c>
      <c r="E100" s="938">
        <f t="shared" si="24"/>
        <v>0</v>
      </c>
      <c r="F100" s="938">
        <f t="shared" si="25"/>
        <v>0</v>
      </c>
      <c r="G100" s="938">
        <f t="shared" si="26"/>
        <v>0</v>
      </c>
      <c r="H100" s="938">
        <f t="shared" si="27"/>
        <v>0</v>
      </c>
      <c r="I100" s="938">
        <f t="shared" si="28"/>
        <v>0</v>
      </c>
      <c r="J100" s="939">
        <f t="shared" si="29"/>
        <v>0</v>
      </c>
      <c r="K100" s="495"/>
      <c r="L100" s="940" t="b">
        <f t="shared" si="30"/>
        <v>0</v>
      </c>
      <c r="M100" s="938" t="b">
        <f t="shared" si="31"/>
        <v>0</v>
      </c>
      <c r="N100" s="938" t="b">
        <f t="shared" si="32"/>
        <v>0</v>
      </c>
      <c r="O100" s="938" t="b">
        <f t="shared" si="33"/>
        <v>0</v>
      </c>
      <c r="P100" s="938" t="b">
        <f t="shared" si="34"/>
        <v>0</v>
      </c>
      <c r="Q100" s="939" t="b">
        <f t="shared" si="35"/>
        <v>0</v>
      </c>
    </row>
    <row r="101" spans="1:17">
      <c r="A101" s="1">
        <v>95</v>
      </c>
      <c r="B101" s="629">
        <f>Assistive_Products_Costs!B105</f>
        <v>0</v>
      </c>
      <c r="C101" s="2"/>
      <c r="D101" s="2">
        <f>Assistive_Products_Costs!C105</f>
        <v>0</v>
      </c>
      <c r="E101" s="938">
        <f t="shared" si="24"/>
        <v>0</v>
      </c>
      <c r="F101" s="938">
        <f t="shared" si="25"/>
        <v>0</v>
      </c>
      <c r="G101" s="938">
        <f t="shared" si="26"/>
        <v>0</v>
      </c>
      <c r="H101" s="938">
        <f t="shared" si="27"/>
        <v>0</v>
      </c>
      <c r="I101" s="938">
        <f t="shared" si="28"/>
        <v>0</v>
      </c>
      <c r="J101" s="939">
        <f t="shared" si="29"/>
        <v>0</v>
      </c>
      <c r="K101" s="495"/>
      <c r="L101" s="940" t="b">
        <f t="shared" si="30"/>
        <v>0</v>
      </c>
      <c r="M101" s="938" t="b">
        <f t="shared" si="31"/>
        <v>0</v>
      </c>
      <c r="N101" s="938" t="b">
        <f t="shared" si="32"/>
        <v>0</v>
      </c>
      <c r="O101" s="938" t="b">
        <f t="shared" si="33"/>
        <v>0</v>
      </c>
      <c r="P101" s="938" t="b">
        <f t="shared" si="34"/>
        <v>0</v>
      </c>
      <c r="Q101" s="939" t="b">
        <f t="shared" si="35"/>
        <v>0</v>
      </c>
    </row>
    <row r="102" spans="1:17">
      <c r="A102" s="1">
        <v>96</v>
      </c>
      <c r="B102" s="629">
        <f>Assistive_Products_Costs!B106</f>
        <v>0</v>
      </c>
      <c r="C102" s="2"/>
      <c r="D102" s="2">
        <f>Assistive_Products_Costs!C106</f>
        <v>0</v>
      </c>
      <c r="E102" s="938">
        <f t="shared" si="24"/>
        <v>0</v>
      </c>
      <c r="F102" s="938">
        <f t="shared" si="25"/>
        <v>0</v>
      </c>
      <c r="G102" s="938">
        <f t="shared" si="26"/>
        <v>0</v>
      </c>
      <c r="H102" s="938">
        <f t="shared" si="27"/>
        <v>0</v>
      </c>
      <c r="I102" s="938">
        <f t="shared" si="28"/>
        <v>0</v>
      </c>
      <c r="J102" s="939">
        <f t="shared" si="29"/>
        <v>0</v>
      </c>
      <c r="K102" s="495"/>
      <c r="L102" s="940" t="b">
        <f t="shared" si="30"/>
        <v>0</v>
      </c>
      <c r="M102" s="938" t="b">
        <f t="shared" si="31"/>
        <v>0</v>
      </c>
      <c r="N102" s="938" t="b">
        <f t="shared" si="32"/>
        <v>0</v>
      </c>
      <c r="O102" s="938" t="b">
        <f t="shared" si="33"/>
        <v>0</v>
      </c>
      <c r="P102" s="938" t="b">
        <f t="shared" si="34"/>
        <v>0</v>
      </c>
      <c r="Q102" s="939" t="b">
        <f t="shared" si="35"/>
        <v>0</v>
      </c>
    </row>
    <row r="103" spans="1:17">
      <c r="A103" s="1">
        <v>97</v>
      </c>
      <c r="B103" s="629">
        <f>Assistive_Products_Costs!B107</f>
        <v>0</v>
      </c>
      <c r="C103" s="2"/>
      <c r="D103" s="2">
        <f>Assistive_Products_Costs!C107</f>
        <v>0</v>
      </c>
      <c r="E103" s="938">
        <f t="shared" si="24"/>
        <v>0</v>
      </c>
      <c r="F103" s="938">
        <f t="shared" si="25"/>
        <v>0</v>
      </c>
      <c r="G103" s="938">
        <f t="shared" si="26"/>
        <v>0</v>
      </c>
      <c r="H103" s="938">
        <f t="shared" si="27"/>
        <v>0</v>
      </c>
      <c r="I103" s="938">
        <f t="shared" si="28"/>
        <v>0</v>
      </c>
      <c r="J103" s="939">
        <f t="shared" si="29"/>
        <v>0</v>
      </c>
      <c r="K103" s="495"/>
      <c r="L103" s="940" t="b">
        <f t="shared" si="30"/>
        <v>0</v>
      </c>
      <c r="M103" s="938" t="b">
        <f t="shared" si="31"/>
        <v>0</v>
      </c>
      <c r="N103" s="938" t="b">
        <f t="shared" si="32"/>
        <v>0</v>
      </c>
      <c r="O103" s="938" t="b">
        <f t="shared" si="33"/>
        <v>0</v>
      </c>
      <c r="P103" s="938" t="b">
        <f t="shared" si="34"/>
        <v>0</v>
      </c>
      <c r="Q103" s="939" t="b">
        <f t="shared" si="35"/>
        <v>0</v>
      </c>
    </row>
    <row r="104" spans="1:17">
      <c r="A104" s="1">
        <v>98</v>
      </c>
      <c r="B104" s="629">
        <f>Assistive_Products_Costs!B108</f>
        <v>0</v>
      </c>
      <c r="C104" s="2"/>
      <c r="D104" s="2">
        <f>Assistive_Products_Costs!C108</f>
        <v>0</v>
      </c>
      <c r="E104" s="938">
        <f t="shared" si="24"/>
        <v>0</v>
      </c>
      <c r="F104" s="938">
        <f t="shared" si="25"/>
        <v>0</v>
      </c>
      <c r="G104" s="938">
        <f t="shared" si="26"/>
        <v>0</v>
      </c>
      <c r="H104" s="938">
        <f t="shared" si="27"/>
        <v>0</v>
      </c>
      <c r="I104" s="938">
        <f t="shared" si="28"/>
        <v>0</v>
      </c>
      <c r="J104" s="939">
        <f t="shared" si="29"/>
        <v>0</v>
      </c>
      <c r="K104" s="495"/>
      <c r="L104" s="940" t="b">
        <f t="shared" si="30"/>
        <v>0</v>
      </c>
      <c r="M104" s="938" t="b">
        <f t="shared" si="31"/>
        <v>0</v>
      </c>
      <c r="N104" s="938" t="b">
        <f t="shared" si="32"/>
        <v>0</v>
      </c>
      <c r="O104" s="938" t="b">
        <f t="shared" si="33"/>
        <v>0</v>
      </c>
      <c r="P104" s="938" t="b">
        <f t="shared" si="34"/>
        <v>0</v>
      </c>
      <c r="Q104" s="939" t="b">
        <f t="shared" si="35"/>
        <v>0</v>
      </c>
    </row>
    <row r="105" spans="1:17">
      <c r="A105" s="1">
        <v>99</v>
      </c>
      <c r="B105" s="629">
        <f>Assistive_Products_Costs!B109</f>
        <v>0</v>
      </c>
      <c r="C105" s="2"/>
      <c r="D105" s="2">
        <f>Assistive_Products_Costs!C109</f>
        <v>0</v>
      </c>
      <c r="E105" s="938">
        <f t="shared" si="24"/>
        <v>0</v>
      </c>
      <c r="F105" s="938">
        <f t="shared" si="25"/>
        <v>0</v>
      </c>
      <c r="G105" s="938">
        <f t="shared" si="26"/>
        <v>0</v>
      </c>
      <c r="H105" s="938">
        <f t="shared" si="27"/>
        <v>0</v>
      </c>
      <c r="I105" s="938">
        <f t="shared" si="28"/>
        <v>0</v>
      </c>
      <c r="J105" s="939">
        <f t="shared" si="29"/>
        <v>0</v>
      </c>
      <c r="K105" s="495"/>
      <c r="L105" s="940" t="b">
        <f t="shared" si="30"/>
        <v>0</v>
      </c>
      <c r="M105" s="938" t="b">
        <f t="shared" si="31"/>
        <v>0</v>
      </c>
      <c r="N105" s="938" t="b">
        <f t="shared" si="32"/>
        <v>0</v>
      </c>
      <c r="O105" s="938" t="b">
        <f t="shared" si="33"/>
        <v>0</v>
      </c>
      <c r="P105" s="938" t="b">
        <f t="shared" si="34"/>
        <v>0</v>
      </c>
      <c r="Q105" s="939" t="b">
        <f t="shared" si="35"/>
        <v>0</v>
      </c>
    </row>
    <row r="106" spans="1:17">
      <c r="A106" s="1">
        <v>100</v>
      </c>
      <c r="B106" s="630">
        <f>Assistive_Products_Costs!B110</f>
        <v>0</v>
      </c>
      <c r="C106" s="631"/>
      <c r="D106" s="631">
        <f>Assistive_Products_Costs!C110</f>
        <v>0</v>
      </c>
      <c r="E106" s="941">
        <f t="shared" si="24"/>
        <v>0</v>
      </c>
      <c r="F106" s="941">
        <f t="shared" si="25"/>
        <v>0</v>
      </c>
      <c r="G106" s="941">
        <f t="shared" si="26"/>
        <v>0</v>
      </c>
      <c r="H106" s="941">
        <f t="shared" si="27"/>
        <v>0</v>
      </c>
      <c r="I106" s="941">
        <f t="shared" si="28"/>
        <v>0</v>
      </c>
      <c r="J106" s="942">
        <f t="shared" si="29"/>
        <v>0</v>
      </c>
      <c r="K106" s="495"/>
      <c r="L106" s="943" t="b">
        <f t="shared" si="30"/>
        <v>0</v>
      </c>
      <c r="M106" s="941" t="b">
        <f t="shared" si="31"/>
        <v>0</v>
      </c>
      <c r="N106" s="941" t="b">
        <f t="shared" si="32"/>
        <v>0</v>
      </c>
      <c r="O106" s="941" t="b">
        <f t="shared" si="33"/>
        <v>0</v>
      </c>
      <c r="P106" s="941" t="b">
        <f t="shared" si="34"/>
        <v>0</v>
      </c>
      <c r="Q106" s="942" t="b">
        <f t="shared" si="35"/>
        <v>0</v>
      </c>
    </row>
  </sheetData>
  <mergeCells count="2">
    <mergeCell ref="E4:J4"/>
    <mergeCell ref="L4:Q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2060"/>
  </sheetPr>
  <dimension ref="A1:V108"/>
  <sheetViews>
    <sheetView zoomScale="80" zoomScaleNormal="80" workbookViewId="0">
      <pane xSplit="2" ySplit="6" topLeftCell="C94" activePane="bottomRight" state="frozen"/>
      <selection activeCell="E12" sqref="E12"/>
      <selection pane="topRight" activeCell="E12" sqref="E12"/>
      <selection pane="bottomLeft" activeCell="E12" sqref="E12"/>
      <selection pane="bottomRight" activeCell="E12" sqref="E12"/>
    </sheetView>
  </sheetViews>
  <sheetFormatPr baseColWidth="10" defaultColWidth="8.77734375" defaultRowHeight="14.4"/>
  <cols>
    <col min="1" max="1" width="6.21875" customWidth="1"/>
    <col min="2" max="2" width="37.21875" customWidth="1"/>
    <col min="3" max="3" width="13.44140625" customWidth="1"/>
    <col min="4" max="4" width="16.44140625" customWidth="1"/>
    <col min="5" max="5" width="15.44140625" customWidth="1"/>
    <col min="6" max="6" width="9.44140625" bestFit="1" customWidth="1"/>
    <col min="7" max="7" width="18.77734375" customWidth="1"/>
    <col min="8" max="8" width="29.21875" customWidth="1"/>
    <col min="9" max="9" width="6" customWidth="1"/>
    <col min="10" max="10" width="15.21875" bestFit="1" customWidth="1"/>
    <col min="11" max="15" width="13.77734375" bestFit="1" customWidth="1"/>
    <col min="17" max="17" width="15.21875" bestFit="1" customWidth="1"/>
    <col min="18" max="21" width="15" bestFit="1" customWidth="1"/>
    <col min="22" max="22" width="16.21875" bestFit="1" customWidth="1"/>
  </cols>
  <sheetData>
    <row r="1" spans="1:22" s="318" customFormat="1" ht="24" customHeight="1">
      <c r="A1" s="314" t="s">
        <v>1460</v>
      </c>
      <c r="K1" s="332"/>
      <c r="L1" s="333"/>
      <c r="M1" s="333"/>
    </row>
    <row r="2" spans="1:22" s="215" customFormat="1" ht="18">
      <c r="A2" s="50" t="s">
        <v>598</v>
      </c>
      <c r="K2" s="216"/>
      <c r="L2" s="217"/>
      <c r="M2" s="217"/>
    </row>
    <row r="3" spans="1:22" ht="15" thickBot="1">
      <c r="Q3">
        <v>2</v>
      </c>
      <c r="R3">
        <v>3</v>
      </c>
      <c r="S3">
        <v>4</v>
      </c>
      <c r="T3">
        <v>5</v>
      </c>
      <c r="U3">
        <v>6</v>
      </c>
      <c r="V3">
        <v>7</v>
      </c>
    </row>
    <row r="4" spans="1:22" ht="15" thickBot="1">
      <c r="J4" s="1059" t="s">
        <v>1379</v>
      </c>
      <c r="K4" s="1060"/>
      <c r="L4" s="1060"/>
      <c r="M4" s="1060"/>
      <c r="N4" s="1060"/>
      <c r="O4" s="1085"/>
      <c r="Q4" s="1059" t="str">
        <f>"Total assistive device and supplies costs required for service provision ("&amp;currency_enter&amp;")"</f>
        <v>Total assistive device and supplies costs required for service provision ()</v>
      </c>
      <c r="R4" s="1060"/>
      <c r="S4" s="1060"/>
      <c r="T4" s="1060"/>
      <c r="U4" s="1060"/>
      <c r="V4" s="1085"/>
    </row>
    <row r="5" spans="1:22" ht="29.4" thickBot="1">
      <c r="B5" s="520" t="s">
        <v>7</v>
      </c>
      <c r="C5" s="11" t="s">
        <v>0</v>
      </c>
      <c r="D5" s="521" t="s">
        <v>1419</v>
      </c>
      <c r="E5" s="11" t="s">
        <v>1380</v>
      </c>
      <c r="F5" s="11" t="s">
        <v>1216</v>
      </c>
      <c r="G5" s="521" t="s">
        <v>1381</v>
      </c>
      <c r="H5" s="522" t="str">
        <f>"Assistive Device and Supplies Cost per Service ("&amp;currency_enter&amp;")"</f>
        <v>Assistive Device and Supplies Cost per Service ()</v>
      </c>
      <c r="J5" s="10">
        <f>baseline_year</f>
        <v>0</v>
      </c>
      <c r="K5" s="11">
        <f>baseline_year+1</f>
        <v>1</v>
      </c>
      <c r="L5" s="11">
        <f>K5+1</f>
        <v>2</v>
      </c>
      <c r="M5" s="11">
        <f>L5+1</f>
        <v>3</v>
      </c>
      <c r="N5" s="11">
        <f>M5+1</f>
        <v>4</v>
      </c>
      <c r="O5" s="12">
        <f>N5+1</f>
        <v>5</v>
      </c>
      <c r="Q5" s="10">
        <f>baseline_year</f>
        <v>0</v>
      </c>
      <c r="R5" s="11">
        <f>baseline_year+1</f>
        <v>1</v>
      </c>
      <c r="S5" s="11">
        <f>R5+1</f>
        <v>2</v>
      </c>
      <c r="T5" s="11">
        <f>S5+1</f>
        <v>3</v>
      </c>
      <c r="U5" s="11">
        <f>T5+1</f>
        <v>4</v>
      </c>
      <c r="V5" s="12">
        <f>U5+1</f>
        <v>5</v>
      </c>
    </row>
    <row r="6" spans="1:22">
      <c r="B6" s="4"/>
      <c r="C6" s="65"/>
      <c r="D6" s="65"/>
      <c r="E6" s="65"/>
      <c r="F6" s="65"/>
      <c r="G6" s="65"/>
      <c r="H6" s="64"/>
    </row>
    <row r="7" spans="1:22">
      <c r="B7" s="4" t="s">
        <v>1164</v>
      </c>
      <c r="C7" s="65"/>
      <c r="D7" s="65"/>
      <c r="E7" s="65"/>
      <c r="F7" s="65"/>
      <c r="G7" s="65"/>
      <c r="H7" s="616"/>
      <c r="J7" s="523">
        <f t="shared" ref="J7:O7" si="0">SUM(J9:J108)</f>
        <v>0</v>
      </c>
      <c r="K7" s="524">
        <f t="shared" si="0"/>
        <v>0</v>
      </c>
      <c r="L7" s="524">
        <f t="shared" si="0"/>
        <v>0</v>
      </c>
      <c r="M7" s="524">
        <f t="shared" si="0"/>
        <v>0</v>
      </c>
      <c r="N7" s="524">
        <f t="shared" si="0"/>
        <v>0</v>
      </c>
      <c r="O7" s="525">
        <f t="shared" si="0"/>
        <v>0</v>
      </c>
      <c r="Q7" s="523" t="e">
        <f t="shared" ref="Q7:V7" si="1">SUM(Q9:Q108)</f>
        <v>#N/A</v>
      </c>
      <c r="R7" s="524" t="e">
        <f t="shared" si="1"/>
        <v>#N/A</v>
      </c>
      <c r="S7" s="524" t="e">
        <f t="shared" si="1"/>
        <v>#N/A</v>
      </c>
      <c r="T7" s="524" t="e">
        <f t="shared" si="1"/>
        <v>#N/A</v>
      </c>
      <c r="U7" s="524" t="e">
        <f t="shared" si="1"/>
        <v>#N/A</v>
      </c>
      <c r="V7" s="525" t="e">
        <f t="shared" si="1"/>
        <v>#N/A</v>
      </c>
    </row>
    <row r="8" spans="1:22">
      <c r="B8" s="4"/>
      <c r="C8" s="65"/>
      <c r="D8" s="65"/>
      <c r="E8" s="65"/>
      <c r="F8" s="65"/>
      <c r="G8" s="65"/>
      <c r="H8" s="65"/>
    </row>
    <row r="9" spans="1:22" ht="14.7" customHeight="1">
      <c r="A9" s="1">
        <v>1</v>
      </c>
      <c r="B9" s="412">
        <f>Summary_Services!B6</f>
        <v>0</v>
      </c>
      <c r="C9" s="412">
        <f>Summary_Services!C6</f>
        <v>0</v>
      </c>
      <c r="D9" s="412">
        <f>Summary_Services!F6</f>
        <v>0</v>
      </c>
      <c r="E9" s="526">
        <f>Treatment_Guidelines!C6</f>
        <v>0</v>
      </c>
      <c r="F9" s="526">
        <f>Treatment_Guidelines!D6</f>
        <v>0</v>
      </c>
      <c r="G9" s="526">
        <f>IF(F9="Minutes",E9,IF(F9="Hours",E9*60,IF(F9="Days",E9*60*8,0)))</f>
        <v>0</v>
      </c>
      <c r="H9" s="527">
        <f>Treatment_Guidelines!E17</f>
        <v>0</v>
      </c>
      <c r="J9" s="528">
        <f>$G9*Summary_Services!Y6</f>
        <v>0</v>
      </c>
      <c r="K9" s="971">
        <f>$G9*Summary_Services!Z6</f>
        <v>0</v>
      </c>
      <c r="L9" s="971">
        <f>$G9*Summary_Services!AA6</f>
        <v>0</v>
      </c>
      <c r="M9" s="971">
        <f>$G9*Summary_Services!AB6</f>
        <v>0</v>
      </c>
      <c r="N9" s="971">
        <f>$G9*Summary_Services!AC6</f>
        <v>0</v>
      </c>
      <c r="O9" s="972">
        <f>$G9*Summary_Services!AD6</f>
        <v>0</v>
      </c>
      <c r="Q9" s="529">
        <f>$H9*Summary_Services!Y6</f>
        <v>0</v>
      </c>
      <c r="R9" s="68">
        <f>$H9*Summary_Services!Z6</f>
        <v>0</v>
      </c>
      <c r="S9" s="68">
        <f>$H9*Summary_Services!AA6</f>
        <v>0</v>
      </c>
      <c r="T9" s="68">
        <f>$H9*Summary_Services!AB6</f>
        <v>0</v>
      </c>
      <c r="U9" s="68">
        <f>$H9*Summary_Services!AC6</f>
        <v>0</v>
      </c>
      <c r="V9" s="69">
        <f>$H9*Summary_Services!AD6</f>
        <v>0</v>
      </c>
    </row>
    <row r="10" spans="1:22">
      <c r="A10" s="1">
        <v>2</v>
      </c>
      <c r="B10" s="412">
        <f>Summary_Services!B7</f>
        <v>0</v>
      </c>
      <c r="C10" s="412">
        <f>Summary_Services!C7</f>
        <v>0</v>
      </c>
      <c r="D10" s="412">
        <f>Summary_Services!F7</f>
        <v>0</v>
      </c>
      <c r="E10" s="526">
        <f>Treatment_Guidelines!C21</f>
        <v>0</v>
      </c>
      <c r="F10" s="526">
        <f>Treatment_Guidelines!D21</f>
        <v>0</v>
      </c>
      <c r="G10" s="526">
        <f t="shared" ref="G10:G73" si="2">IF(F10="Minutes",E10,IF(F10="Hours",E10*60,IF(F10="Days",E10*60*8,0)))</f>
        <v>0</v>
      </c>
      <c r="H10" s="527" t="e">
        <f>Treatment_Guidelines!E32</f>
        <v>#N/A</v>
      </c>
      <c r="J10" s="530">
        <f>$G10*Summary_Services!Y7</f>
        <v>0</v>
      </c>
      <c r="K10" s="70">
        <f>$G10*Summary_Services!Z7</f>
        <v>0</v>
      </c>
      <c r="L10" s="70">
        <f>$G10*Summary_Services!AA7</f>
        <v>0</v>
      </c>
      <c r="M10" s="70">
        <f>$G10*Summary_Services!AB7</f>
        <v>0</v>
      </c>
      <c r="N10" s="70">
        <f>$G10*Summary_Services!AC7</f>
        <v>0</v>
      </c>
      <c r="O10" s="267">
        <f>$G10*Summary_Services!AD7</f>
        <v>0</v>
      </c>
      <c r="Q10" s="530" t="e">
        <f>$H10*Summary_Services!Y7</f>
        <v>#N/A</v>
      </c>
      <c r="R10" s="70" t="e">
        <f>$H10*Summary_Services!Z7</f>
        <v>#N/A</v>
      </c>
      <c r="S10" s="70" t="e">
        <f>$H10*Summary_Services!AA7</f>
        <v>#N/A</v>
      </c>
      <c r="T10" s="70" t="e">
        <f>$H10*Summary_Services!AB7</f>
        <v>#N/A</v>
      </c>
      <c r="U10" s="70" t="e">
        <f>$H10*Summary_Services!AC7</f>
        <v>#N/A</v>
      </c>
      <c r="V10" s="267" t="e">
        <f>$H10*Summary_Services!AD7</f>
        <v>#N/A</v>
      </c>
    </row>
    <row r="11" spans="1:22">
      <c r="A11" s="1">
        <v>3</v>
      </c>
      <c r="B11" s="412">
        <f>Summary_Services!B8</f>
        <v>0</v>
      </c>
      <c r="C11" s="412">
        <f>Summary_Services!C8</f>
        <v>0</v>
      </c>
      <c r="D11" s="412">
        <f>Summary_Services!F8</f>
        <v>0</v>
      </c>
      <c r="E11" s="526">
        <f>Treatment_Guidelines!C36</f>
        <v>0</v>
      </c>
      <c r="F11" s="526">
        <f>Treatment_Guidelines!D36</f>
        <v>0</v>
      </c>
      <c r="G11" s="526">
        <f t="shared" si="2"/>
        <v>0</v>
      </c>
      <c r="H11" s="527">
        <f>Treatment_Guidelines!E49</f>
        <v>0</v>
      </c>
      <c r="J11" s="530">
        <f>$G11*Summary_Services!Y8</f>
        <v>0</v>
      </c>
      <c r="K11" s="70">
        <f>$G11*Summary_Services!Z8</f>
        <v>0</v>
      </c>
      <c r="L11" s="70">
        <f>$G11*Summary_Services!AA8</f>
        <v>0</v>
      </c>
      <c r="M11" s="70">
        <f>$G11*Summary_Services!AB8</f>
        <v>0</v>
      </c>
      <c r="N11" s="70">
        <f>$G11*Summary_Services!AC8</f>
        <v>0</v>
      </c>
      <c r="O11" s="267">
        <f>$G11*Summary_Services!AD8</f>
        <v>0</v>
      </c>
      <c r="Q11" s="530">
        <f>$H11*Summary_Services!Y8</f>
        <v>0</v>
      </c>
      <c r="R11" s="70">
        <f>$H11*Summary_Services!Z8</f>
        <v>0</v>
      </c>
      <c r="S11" s="70">
        <f>$H11*Summary_Services!AA8</f>
        <v>0</v>
      </c>
      <c r="T11" s="70">
        <f>$H11*Summary_Services!AB8</f>
        <v>0</v>
      </c>
      <c r="U11" s="70">
        <f>$H11*Summary_Services!AC8</f>
        <v>0</v>
      </c>
      <c r="V11" s="267">
        <f>$H11*Summary_Services!AD8</f>
        <v>0</v>
      </c>
    </row>
    <row r="12" spans="1:22">
      <c r="A12" s="1">
        <v>4</v>
      </c>
      <c r="B12" s="412">
        <f>Summary_Services!B9</f>
        <v>0</v>
      </c>
      <c r="C12" s="412">
        <f>Summary_Services!C9</f>
        <v>0</v>
      </c>
      <c r="D12" s="412">
        <f>Summary_Services!F9</f>
        <v>0</v>
      </c>
      <c r="E12" s="526">
        <f>Treatment_Guidelines!C51</f>
        <v>0</v>
      </c>
      <c r="F12" s="526">
        <f>Treatment_Guidelines!D51</f>
        <v>0</v>
      </c>
      <c r="G12" s="526">
        <f t="shared" si="2"/>
        <v>0</v>
      </c>
      <c r="H12" s="527">
        <f>Treatment_Guidelines!E62</f>
        <v>0</v>
      </c>
      <c r="J12" s="530">
        <f>$G12*Summary_Services!Y9</f>
        <v>0</v>
      </c>
      <c r="K12" s="70">
        <f>$G12*Summary_Services!Z9</f>
        <v>0</v>
      </c>
      <c r="L12" s="70">
        <f>$G12*Summary_Services!AA9</f>
        <v>0</v>
      </c>
      <c r="M12" s="70">
        <f>$G12*Summary_Services!AB9</f>
        <v>0</v>
      </c>
      <c r="N12" s="70">
        <f>$G12*Summary_Services!AC9</f>
        <v>0</v>
      </c>
      <c r="O12" s="267">
        <f>$G12*Summary_Services!AD9</f>
        <v>0</v>
      </c>
      <c r="Q12" s="530">
        <f>$H12*Summary_Services!Y9</f>
        <v>0</v>
      </c>
      <c r="R12" s="70">
        <f>$H12*Summary_Services!Z9</f>
        <v>0</v>
      </c>
      <c r="S12" s="70">
        <f>$H12*Summary_Services!AA9</f>
        <v>0</v>
      </c>
      <c r="T12" s="70">
        <f>$H12*Summary_Services!AB9</f>
        <v>0</v>
      </c>
      <c r="U12" s="70">
        <f>$H12*Summary_Services!AC9</f>
        <v>0</v>
      </c>
      <c r="V12" s="267">
        <f>$H12*Summary_Services!AD9</f>
        <v>0</v>
      </c>
    </row>
    <row r="13" spans="1:22">
      <c r="A13" s="1">
        <v>5</v>
      </c>
      <c r="B13" s="412">
        <f>Summary_Services!B10</f>
        <v>0</v>
      </c>
      <c r="C13" s="412">
        <f>Summary_Services!C10</f>
        <v>0</v>
      </c>
      <c r="D13" s="412">
        <f>Summary_Services!F10</f>
        <v>0</v>
      </c>
      <c r="E13" s="526">
        <f>Treatment_Guidelines!C67</f>
        <v>0</v>
      </c>
      <c r="F13" s="526">
        <f>Treatment_Guidelines!D67</f>
        <v>0</v>
      </c>
      <c r="G13" s="526">
        <f t="shared" si="2"/>
        <v>0</v>
      </c>
      <c r="H13" s="527">
        <f>Treatment_Guidelines!E78</f>
        <v>0</v>
      </c>
      <c r="J13" s="530">
        <f>$G13*Summary_Services!Y10</f>
        <v>0</v>
      </c>
      <c r="K13" s="70">
        <f>$G13*Summary_Services!Z10</f>
        <v>0</v>
      </c>
      <c r="L13" s="70">
        <f>$G13*Summary_Services!AA10</f>
        <v>0</v>
      </c>
      <c r="M13" s="70">
        <f>$G13*Summary_Services!AB10</f>
        <v>0</v>
      </c>
      <c r="N13" s="70">
        <f>$G13*Summary_Services!AC10</f>
        <v>0</v>
      </c>
      <c r="O13" s="267">
        <f>$G13*Summary_Services!AD10</f>
        <v>0</v>
      </c>
      <c r="Q13" s="530">
        <f>$H13*Summary_Services!Y10</f>
        <v>0</v>
      </c>
      <c r="R13" s="70">
        <f>$H13*Summary_Services!Z10</f>
        <v>0</v>
      </c>
      <c r="S13" s="70">
        <f>$H13*Summary_Services!AA10</f>
        <v>0</v>
      </c>
      <c r="T13" s="70">
        <f>$H13*Summary_Services!AB10</f>
        <v>0</v>
      </c>
      <c r="U13" s="70">
        <f>$H13*Summary_Services!AC10</f>
        <v>0</v>
      </c>
      <c r="V13" s="267">
        <f>$H13*Summary_Services!AD10</f>
        <v>0</v>
      </c>
    </row>
    <row r="14" spans="1:22">
      <c r="A14" s="1">
        <v>6</v>
      </c>
      <c r="B14" s="412">
        <f>Summary_Services!B11</f>
        <v>0</v>
      </c>
      <c r="C14" s="412">
        <f>Summary_Services!C11</f>
        <v>0</v>
      </c>
      <c r="D14" s="412">
        <f>Summary_Services!F11</f>
        <v>0</v>
      </c>
      <c r="E14" s="526">
        <f>Treatment_Guidelines!C83</f>
        <v>0</v>
      </c>
      <c r="F14" s="526">
        <f>Treatment_Guidelines!D83</f>
        <v>0</v>
      </c>
      <c r="G14" s="526">
        <f t="shared" si="2"/>
        <v>0</v>
      </c>
      <c r="H14" s="527">
        <f>Treatment_Guidelines!E94</f>
        <v>0</v>
      </c>
      <c r="J14" s="530">
        <f>$G14*Summary_Services!Y11</f>
        <v>0</v>
      </c>
      <c r="K14" s="70">
        <f>$G14*Summary_Services!Z11</f>
        <v>0</v>
      </c>
      <c r="L14" s="70">
        <f>$G14*Summary_Services!AA11</f>
        <v>0</v>
      </c>
      <c r="M14" s="70">
        <f>$G14*Summary_Services!AB11</f>
        <v>0</v>
      </c>
      <c r="N14" s="70">
        <f>$G14*Summary_Services!AC11</f>
        <v>0</v>
      </c>
      <c r="O14" s="267">
        <f>$G14*Summary_Services!AD11</f>
        <v>0</v>
      </c>
      <c r="Q14" s="530">
        <f>$H14*Summary_Services!Y11</f>
        <v>0</v>
      </c>
      <c r="R14" s="70">
        <f>$H14*Summary_Services!Z11</f>
        <v>0</v>
      </c>
      <c r="S14" s="70">
        <f>$H14*Summary_Services!AA11</f>
        <v>0</v>
      </c>
      <c r="T14" s="70">
        <f>$H14*Summary_Services!AB11</f>
        <v>0</v>
      </c>
      <c r="U14" s="70">
        <f>$H14*Summary_Services!AC11</f>
        <v>0</v>
      </c>
      <c r="V14" s="267">
        <f>$H14*Summary_Services!AD11</f>
        <v>0</v>
      </c>
    </row>
    <row r="15" spans="1:22">
      <c r="A15" s="1">
        <v>7</v>
      </c>
      <c r="B15" s="412">
        <f>Summary_Services!B12</f>
        <v>0</v>
      </c>
      <c r="C15" s="412">
        <f>Summary_Services!C12</f>
        <v>0</v>
      </c>
      <c r="D15" s="412">
        <f>Summary_Services!F12</f>
        <v>0</v>
      </c>
      <c r="E15" s="526">
        <f>Treatment_Guidelines!C99</f>
        <v>0</v>
      </c>
      <c r="F15" s="526">
        <f>Treatment_Guidelines!D99</f>
        <v>0</v>
      </c>
      <c r="G15" s="526">
        <f t="shared" si="2"/>
        <v>0</v>
      </c>
      <c r="H15" s="527">
        <f>Treatment_Guidelines!E110</f>
        <v>0</v>
      </c>
      <c r="J15" s="530">
        <f>$G15*Summary_Services!Y12</f>
        <v>0</v>
      </c>
      <c r="K15" s="70">
        <f>$G15*Summary_Services!Z12</f>
        <v>0</v>
      </c>
      <c r="L15" s="70">
        <f>$G15*Summary_Services!AA12</f>
        <v>0</v>
      </c>
      <c r="M15" s="70">
        <f>$G15*Summary_Services!AB12</f>
        <v>0</v>
      </c>
      <c r="N15" s="70">
        <f>$G15*Summary_Services!AC12</f>
        <v>0</v>
      </c>
      <c r="O15" s="267">
        <f>$G15*Summary_Services!AD12</f>
        <v>0</v>
      </c>
      <c r="Q15" s="530">
        <f>$H15*Summary_Services!Y12</f>
        <v>0</v>
      </c>
      <c r="R15" s="70">
        <f>$H15*Summary_Services!Z12</f>
        <v>0</v>
      </c>
      <c r="S15" s="70">
        <f>$H15*Summary_Services!AA12</f>
        <v>0</v>
      </c>
      <c r="T15" s="70">
        <f>$H15*Summary_Services!AB12</f>
        <v>0</v>
      </c>
      <c r="U15" s="70">
        <f>$H15*Summary_Services!AC12</f>
        <v>0</v>
      </c>
      <c r="V15" s="267">
        <f>$H15*Summary_Services!AD12</f>
        <v>0</v>
      </c>
    </row>
    <row r="16" spans="1:22">
      <c r="A16" s="1">
        <v>8</v>
      </c>
      <c r="B16" s="412">
        <f>Summary_Services!B13</f>
        <v>0</v>
      </c>
      <c r="C16" s="412">
        <f>Summary_Services!C13</f>
        <v>0</v>
      </c>
      <c r="D16" s="412">
        <f>Summary_Services!F13</f>
        <v>0</v>
      </c>
      <c r="E16" s="526">
        <f>Treatment_Guidelines!C116</f>
        <v>0</v>
      </c>
      <c r="F16" s="526">
        <f>Treatment_Guidelines!D116</f>
        <v>0</v>
      </c>
      <c r="G16" s="526">
        <f t="shared" si="2"/>
        <v>0</v>
      </c>
      <c r="H16" s="527">
        <f>Treatment_Guidelines!E127</f>
        <v>0</v>
      </c>
      <c r="J16" s="530">
        <f>$G16*Summary_Services!Y13</f>
        <v>0</v>
      </c>
      <c r="K16" s="70">
        <f>$G16*Summary_Services!Z13</f>
        <v>0</v>
      </c>
      <c r="L16" s="70">
        <f>$G16*Summary_Services!AA13</f>
        <v>0</v>
      </c>
      <c r="M16" s="70">
        <f>$G16*Summary_Services!AB13</f>
        <v>0</v>
      </c>
      <c r="N16" s="70">
        <f>$G16*Summary_Services!AC13</f>
        <v>0</v>
      </c>
      <c r="O16" s="267">
        <f>$G16*Summary_Services!AD13</f>
        <v>0</v>
      </c>
      <c r="Q16" s="530">
        <f>$H16*Summary_Services!Y13</f>
        <v>0</v>
      </c>
      <c r="R16" s="70">
        <f>$H16*Summary_Services!Z13</f>
        <v>0</v>
      </c>
      <c r="S16" s="70">
        <f>$H16*Summary_Services!AA13</f>
        <v>0</v>
      </c>
      <c r="T16" s="70">
        <f>$H16*Summary_Services!AB13</f>
        <v>0</v>
      </c>
      <c r="U16" s="70">
        <f>$H16*Summary_Services!AC13</f>
        <v>0</v>
      </c>
      <c r="V16" s="267">
        <f>$H16*Summary_Services!AD13</f>
        <v>0</v>
      </c>
    </row>
    <row r="17" spans="1:22">
      <c r="A17" s="1">
        <v>9</v>
      </c>
      <c r="B17" s="412">
        <f>Summary_Services!B14</f>
        <v>0</v>
      </c>
      <c r="C17" s="412">
        <f>Summary_Services!C14</f>
        <v>0</v>
      </c>
      <c r="D17" s="412">
        <f>Summary_Services!F14</f>
        <v>0</v>
      </c>
      <c r="E17" s="526">
        <f>Treatment_Guidelines!C132</f>
        <v>0</v>
      </c>
      <c r="F17" s="526">
        <f>Treatment_Guidelines!D132</f>
        <v>0</v>
      </c>
      <c r="G17" s="526">
        <f t="shared" si="2"/>
        <v>0</v>
      </c>
      <c r="H17" s="527">
        <f>Treatment_Guidelines!E143</f>
        <v>0</v>
      </c>
      <c r="J17" s="530">
        <f>$G17*Summary_Services!Y14</f>
        <v>0</v>
      </c>
      <c r="K17" s="70">
        <f>$G17*Summary_Services!Z14</f>
        <v>0</v>
      </c>
      <c r="L17" s="70">
        <f>$G17*Summary_Services!AA14</f>
        <v>0</v>
      </c>
      <c r="M17" s="70">
        <f>$G17*Summary_Services!AB14</f>
        <v>0</v>
      </c>
      <c r="N17" s="70">
        <f>$G17*Summary_Services!AC14</f>
        <v>0</v>
      </c>
      <c r="O17" s="267">
        <f>$G17*Summary_Services!AD14</f>
        <v>0</v>
      </c>
      <c r="Q17" s="530">
        <f>$H17*Summary_Services!Y14</f>
        <v>0</v>
      </c>
      <c r="R17" s="70">
        <f>$H17*Summary_Services!Z14</f>
        <v>0</v>
      </c>
      <c r="S17" s="70">
        <f>$H17*Summary_Services!AA14</f>
        <v>0</v>
      </c>
      <c r="T17" s="70">
        <f>$H17*Summary_Services!AB14</f>
        <v>0</v>
      </c>
      <c r="U17" s="70">
        <f>$H17*Summary_Services!AC14</f>
        <v>0</v>
      </c>
      <c r="V17" s="267">
        <f>$H17*Summary_Services!AD14</f>
        <v>0</v>
      </c>
    </row>
    <row r="18" spans="1:22">
      <c r="A18" s="1">
        <v>10</v>
      </c>
      <c r="B18" s="412">
        <f>Summary_Services!B15</f>
        <v>0</v>
      </c>
      <c r="C18" s="412">
        <f>Summary_Services!C15</f>
        <v>0</v>
      </c>
      <c r="D18" s="412">
        <f>Summary_Services!F15</f>
        <v>0</v>
      </c>
      <c r="E18" s="526">
        <f>Treatment_Guidelines!C149</f>
        <v>0</v>
      </c>
      <c r="F18" s="526">
        <f>Treatment_Guidelines!D149</f>
        <v>0</v>
      </c>
      <c r="G18" s="526">
        <f t="shared" si="2"/>
        <v>0</v>
      </c>
      <c r="H18" s="527">
        <f>Treatment_Guidelines!E160</f>
        <v>0</v>
      </c>
      <c r="J18" s="530">
        <f>$G18*Summary_Services!Y15</f>
        <v>0</v>
      </c>
      <c r="K18" s="70">
        <f>$G18*Summary_Services!Z15</f>
        <v>0</v>
      </c>
      <c r="L18" s="70">
        <f>$G18*Summary_Services!AA15</f>
        <v>0</v>
      </c>
      <c r="M18" s="70">
        <f>$G18*Summary_Services!AB15</f>
        <v>0</v>
      </c>
      <c r="N18" s="70">
        <f>$G18*Summary_Services!AC15</f>
        <v>0</v>
      </c>
      <c r="O18" s="267">
        <f>$G18*Summary_Services!AD15</f>
        <v>0</v>
      </c>
      <c r="Q18" s="530">
        <f>$H18*Summary_Services!Y15</f>
        <v>0</v>
      </c>
      <c r="R18" s="70">
        <f>$H18*Summary_Services!Z15</f>
        <v>0</v>
      </c>
      <c r="S18" s="70">
        <f>$H18*Summary_Services!AA15</f>
        <v>0</v>
      </c>
      <c r="T18" s="70">
        <f>$H18*Summary_Services!AB15</f>
        <v>0</v>
      </c>
      <c r="U18" s="70">
        <f>$H18*Summary_Services!AC15</f>
        <v>0</v>
      </c>
      <c r="V18" s="267">
        <f>$H18*Summary_Services!AD15</f>
        <v>0</v>
      </c>
    </row>
    <row r="19" spans="1:22">
      <c r="A19" s="1">
        <v>11</v>
      </c>
      <c r="B19" s="412">
        <f>Summary_Services!B16</f>
        <v>0</v>
      </c>
      <c r="C19" s="412">
        <f>Summary_Services!C16</f>
        <v>0</v>
      </c>
      <c r="D19" s="412">
        <f>Summary_Services!F16</f>
        <v>0</v>
      </c>
      <c r="E19" s="526"/>
      <c r="F19" s="526"/>
      <c r="G19" s="526">
        <f t="shared" si="2"/>
        <v>0</v>
      </c>
      <c r="H19" s="527"/>
      <c r="J19" s="530">
        <f>$G19*Summary_Services!Y16</f>
        <v>0</v>
      </c>
      <c r="K19" s="70">
        <f>$G19*Summary_Services!Z16</f>
        <v>0</v>
      </c>
      <c r="L19" s="70">
        <f>$G19*Summary_Services!AA16</f>
        <v>0</v>
      </c>
      <c r="M19" s="70">
        <f>$G19*Summary_Services!AB16</f>
        <v>0</v>
      </c>
      <c r="N19" s="70">
        <f>$G19*Summary_Services!AC16</f>
        <v>0</v>
      </c>
      <c r="O19" s="267">
        <f>$G19*Summary_Services!AD16</f>
        <v>0</v>
      </c>
      <c r="Q19" s="530">
        <f>$H19*Summary_Services!Y16</f>
        <v>0</v>
      </c>
      <c r="R19" s="70">
        <f>$H19*Summary_Services!Z16</f>
        <v>0</v>
      </c>
      <c r="S19" s="70">
        <f>$H19*Summary_Services!AA16</f>
        <v>0</v>
      </c>
      <c r="T19" s="70">
        <f>$H19*Summary_Services!AB16</f>
        <v>0</v>
      </c>
      <c r="U19" s="70">
        <f>$H19*Summary_Services!AC16</f>
        <v>0</v>
      </c>
      <c r="V19" s="267">
        <f>$H19*Summary_Services!AD16</f>
        <v>0</v>
      </c>
    </row>
    <row r="20" spans="1:22" ht="14.7" customHeight="1">
      <c r="A20" s="1">
        <v>12</v>
      </c>
      <c r="B20" s="412">
        <f>Summary_Services!B17</f>
        <v>0</v>
      </c>
      <c r="C20" s="412">
        <f>Summary_Services!C17</f>
        <v>0</v>
      </c>
      <c r="D20" s="412">
        <f>Summary_Services!F17</f>
        <v>0</v>
      </c>
      <c r="E20" s="526"/>
      <c r="F20" s="526"/>
      <c r="G20" s="526">
        <f t="shared" si="2"/>
        <v>0</v>
      </c>
      <c r="H20" s="527"/>
      <c r="J20" s="530">
        <f>$G20*Summary_Services!Y17</f>
        <v>0</v>
      </c>
      <c r="K20" s="70">
        <f>$G20*Summary_Services!Z17</f>
        <v>0</v>
      </c>
      <c r="L20" s="70">
        <f>$G20*Summary_Services!AA17</f>
        <v>0</v>
      </c>
      <c r="M20" s="70">
        <f>$G20*Summary_Services!AB17</f>
        <v>0</v>
      </c>
      <c r="N20" s="70">
        <f>$G20*Summary_Services!AC17</f>
        <v>0</v>
      </c>
      <c r="O20" s="267">
        <f>$G20*Summary_Services!AD17</f>
        <v>0</v>
      </c>
      <c r="Q20" s="530">
        <f>$H20*Summary_Services!Y17</f>
        <v>0</v>
      </c>
      <c r="R20" s="70">
        <f>$H20*Summary_Services!Z17</f>
        <v>0</v>
      </c>
      <c r="S20" s="70">
        <f>$H20*Summary_Services!AA17</f>
        <v>0</v>
      </c>
      <c r="T20" s="70">
        <f>$H20*Summary_Services!AB17</f>
        <v>0</v>
      </c>
      <c r="U20" s="70">
        <f>$H20*Summary_Services!AC17</f>
        <v>0</v>
      </c>
      <c r="V20" s="267">
        <f>$H20*Summary_Services!AD17</f>
        <v>0</v>
      </c>
    </row>
    <row r="21" spans="1:22">
      <c r="A21" s="1">
        <v>13</v>
      </c>
      <c r="B21" s="412">
        <f>Summary_Services!B18</f>
        <v>0</v>
      </c>
      <c r="C21" s="412">
        <f>Summary_Services!C18</f>
        <v>0</v>
      </c>
      <c r="D21" s="412">
        <f>Summary_Services!F18</f>
        <v>0</v>
      </c>
      <c r="E21" s="526"/>
      <c r="F21" s="526"/>
      <c r="G21" s="526">
        <f t="shared" si="2"/>
        <v>0</v>
      </c>
      <c r="H21" s="527"/>
      <c r="J21" s="530">
        <f>$G21*Summary_Services!Y18</f>
        <v>0</v>
      </c>
      <c r="K21" s="70">
        <f>$G21*Summary_Services!Z18</f>
        <v>0</v>
      </c>
      <c r="L21" s="70">
        <f>$G21*Summary_Services!AA18</f>
        <v>0</v>
      </c>
      <c r="M21" s="70">
        <f>$G21*Summary_Services!AB18</f>
        <v>0</v>
      </c>
      <c r="N21" s="70">
        <f>$G21*Summary_Services!AC18</f>
        <v>0</v>
      </c>
      <c r="O21" s="267">
        <f>$G21*Summary_Services!AD18</f>
        <v>0</v>
      </c>
      <c r="Q21" s="530">
        <f>$H21*Summary_Services!Y18</f>
        <v>0</v>
      </c>
      <c r="R21" s="70">
        <f>$H21*Summary_Services!Z18</f>
        <v>0</v>
      </c>
      <c r="S21" s="70">
        <f>$H21*Summary_Services!AA18</f>
        <v>0</v>
      </c>
      <c r="T21" s="70">
        <f>$H21*Summary_Services!AB18</f>
        <v>0</v>
      </c>
      <c r="U21" s="70">
        <f>$H21*Summary_Services!AC18</f>
        <v>0</v>
      </c>
      <c r="V21" s="267">
        <f>$H21*Summary_Services!AD18</f>
        <v>0</v>
      </c>
    </row>
    <row r="22" spans="1:22">
      <c r="A22" s="1">
        <v>14</v>
      </c>
      <c r="B22" s="412">
        <f>Summary_Services!B19</f>
        <v>0</v>
      </c>
      <c r="C22" s="412">
        <f>Summary_Services!C19</f>
        <v>0</v>
      </c>
      <c r="D22" s="412">
        <f>Summary_Services!F19</f>
        <v>0</v>
      </c>
      <c r="E22" s="526"/>
      <c r="F22" s="526"/>
      <c r="G22" s="526">
        <f t="shared" si="2"/>
        <v>0</v>
      </c>
      <c r="H22" s="527"/>
      <c r="J22" s="530">
        <f>$G22*Summary_Services!Y19</f>
        <v>0</v>
      </c>
      <c r="K22" s="70">
        <f>$G22*Summary_Services!Z19</f>
        <v>0</v>
      </c>
      <c r="L22" s="70">
        <f>$G22*Summary_Services!AA19</f>
        <v>0</v>
      </c>
      <c r="M22" s="70">
        <f>$G22*Summary_Services!AB19</f>
        <v>0</v>
      </c>
      <c r="N22" s="70">
        <f>$G22*Summary_Services!AC19</f>
        <v>0</v>
      </c>
      <c r="O22" s="267">
        <f>$G22*Summary_Services!AD19</f>
        <v>0</v>
      </c>
      <c r="Q22" s="530">
        <f>$H22*Summary_Services!Y19</f>
        <v>0</v>
      </c>
      <c r="R22" s="70">
        <f>$H22*Summary_Services!Z19</f>
        <v>0</v>
      </c>
      <c r="S22" s="70">
        <f>$H22*Summary_Services!AA19</f>
        <v>0</v>
      </c>
      <c r="T22" s="70">
        <f>$H22*Summary_Services!AB19</f>
        <v>0</v>
      </c>
      <c r="U22" s="70">
        <f>$H22*Summary_Services!AC19</f>
        <v>0</v>
      </c>
      <c r="V22" s="267">
        <f>$H22*Summary_Services!AD19</f>
        <v>0</v>
      </c>
    </row>
    <row r="23" spans="1:22">
      <c r="A23" s="1">
        <v>15</v>
      </c>
      <c r="B23" s="412">
        <f>Summary_Services!B20</f>
        <v>0</v>
      </c>
      <c r="C23" s="412">
        <f>Summary_Services!C20</f>
        <v>0</v>
      </c>
      <c r="D23" s="412">
        <f>Summary_Services!F20</f>
        <v>0</v>
      </c>
      <c r="E23" s="526"/>
      <c r="F23" s="526"/>
      <c r="G23" s="526">
        <f t="shared" si="2"/>
        <v>0</v>
      </c>
      <c r="H23" s="527"/>
      <c r="J23" s="530">
        <f>$G23*Summary_Services!Y20</f>
        <v>0</v>
      </c>
      <c r="K23" s="70">
        <f>$G23*Summary_Services!Z20</f>
        <v>0</v>
      </c>
      <c r="L23" s="70">
        <f>$G23*Summary_Services!AA20</f>
        <v>0</v>
      </c>
      <c r="M23" s="70">
        <f>$G23*Summary_Services!AB20</f>
        <v>0</v>
      </c>
      <c r="N23" s="70">
        <f>$G23*Summary_Services!AC20</f>
        <v>0</v>
      </c>
      <c r="O23" s="267">
        <f>$G23*Summary_Services!AD20</f>
        <v>0</v>
      </c>
      <c r="Q23" s="530">
        <f>$H23*Summary_Services!Y20</f>
        <v>0</v>
      </c>
      <c r="R23" s="70">
        <f>$H23*Summary_Services!Z20</f>
        <v>0</v>
      </c>
      <c r="S23" s="70">
        <f>$H23*Summary_Services!AA20</f>
        <v>0</v>
      </c>
      <c r="T23" s="70">
        <f>$H23*Summary_Services!AB20</f>
        <v>0</v>
      </c>
      <c r="U23" s="70">
        <f>$H23*Summary_Services!AC20</f>
        <v>0</v>
      </c>
      <c r="V23" s="267">
        <f>$H23*Summary_Services!AD20</f>
        <v>0</v>
      </c>
    </row>
    <row r="24" spans="1:22">
      <c r="A24" s="1">
        <v>16</v>
      </c>
      <c r="B24" s="412">
        <f>Summary_Services!B21</f>
        <v>0</v>
      </c>
      <c r="C24" s="412">
        <f>Summary_Services!C21</f>
        <v>0</v>
      </c>
      <c r="D24" s="412">
        <f>Summary_Services!F21</f>
        <v>0</v>
      </c>
      <c r="E24" s="526"/>
      <c r="F24" s="526"/>
      <c r="G24" s="526">
        <f t="shared" si="2"/>
        <v>0</v>
      </c>
      <c r="H24" s="527"/>
      <c r="J24" s="530">
        <f>$G24*Summary_Services!Y21</f>
        <v>0</v>
      </c>
      <c r="K24" s="70">
        <f>$G24*Summary_Services!Z21</f>
        <v>0</v>
      </c>
      <c r="L24" s="70">
        <f>$G24*Summary_Services!AA21</f>
        <v>0</v>
      </c>
      <c r="M24" s="70">
        <f>$G24*Summary_Services!AB21</f>
        <v>0</v>
      </c>
      <c r="N24" s="70">
        <f>$G24*Summary_Services!AC21</f>
        <v>0</v>
      </c>
      <c r="O24" s="267">
        <f>$G24*Summary_Services!AD21</f>
        <v>0</v>
      </c>
      <c r="Q24" s="530">
        <f>$H24*Summary_Services!Y21</f>
        <v>0</v>
      </c>
      <c r="R24" s="70">
        <f>$H24*Summary_Services!Z21</f>
        <v>0</v>
      </c>
      <c r="S24" s="70">
        <f>$H24*Summary_Services!AA21</f>
        <v>0</v>
      </c>
      <c r="T24" s="70">
        <f>$H24*Summary_Services!AB21</f>
        <v>0</v>
      </c>
      <c r="U24" s="70">
        <f>$H24*Summary_Services!AC21</f>
        <v>0</v>
      </c>
      <c r="V24" s="267">
        <f>$H24*Summary_Services!AD21</f>
        <v>0</v>
      </c>
    </row>
    <row r="25" spans="1:22">
      <c r="A25" s="1">
        <v>17</v>
      </c>
      <c r="B25" s="412">
        <f>Summary_Services!B22</f>
        <v>0</v>
      </c>
      <c r="C25" s="412">
        <f>Summary_Services!C22</f>
        <v>0</v>
      </c>
      <c r="D25" s="412">
        <f>Summary_Services!F22</f>
        <v>0</v>
      </c>
      <c r="E25" s="526"/>
      <c r="F25" s="526"/>
      <c r="G25" s="526">
        <f t="shared" si="2"/>
        <v>0</v>
      </c>
      <c r="H25" s="527"/>
      <c r="J25" s="530">
        <f>$G25*Summary_Services!Y22</f>
        <v>0</v>
      </c>
      <c r="K25" s="70">
        <f>$G25*Summary_Services!Z22</f>
        <v>0</v>
      </c>
      <c r="L25" s="70">
        <f>$G25*Summary_Services!AA22</f>
        <v>0</v>
      </c>
      <c r="M25" s="70">
        <f>$G25*Summary_Services!AB22</f>
        <v>0</v>
      </c>
      <c r="N25" s="70">
        <f>$G25*Summary_Services!AC22</f>
        <v>0</v>
      </c>
      <c r="O25" s="267">
        <f>$G25*Summary_Services!AD22</f>
        <v>0</v>
      </c>
      <c r="Q25" s="530">
        <f>$H25*Summary_Services!Y22</f>
        <v>0</v>
      </c>
      <c r="R25" s="70">
        <f>$H25*Summary_Services!Z22</f>
        <v>0</v>
      </c>
      <c r="S25" s="70">
        <f>$H25*Summary_Services!AA22</f>
        <v>0</v>
      </c>
      <c r="T25" s="70">
        <f>$H25*Summary_Services!AB22</f>
        <v>0</v>
      </c>
      <c r="U25" s="70">
        <f>$H25*Summary_Services!AC22</f>
        <v>0</v>
      </c>
      <c r="V25" s="267">
        <f>$H25*Summary_Services!AD22</f>
        <v>0</v>
      </c>
    </row>
    <row r="26" spans="1:22">
      <c r="A26" s="1">
        <v>18</v>
      </c>
      <c r="B26" s="412">
        <f>Summary_Services!B23</f>
        <v>0</v>
      </c>
      <c r="C26" s="412">
        <f>Summary_Services!C23</f>
        <v>0</v>
      </c>
      <c r="D26" s="412">
        <f>Summary_Services!F23</f>
        <v>0</v>
      </c>
      <c r="E26" s="526"/>
      <c r="F26" s="526"/>
      <c r="G26" s="526">
        <f t="shared" si="2"/>
        <v>0</v>
      </c>
      <c r="H26" s="527"/>
      <c r="J26" s="530">
        <f>$G26*Summary_Services!Y23</f>
        <v>0</v>
      </c>
      <c r="K26" s="70">
        <f>$G26*Summary_Services!Z23</f>
        <v>0</v>
      </c>
      <c r="L26" s="70">
        <f>$G26*Summary_Services!AA23</f>
        <v>0</v>
      </c>
      <c r="M26" s="70">
        <f>$G26*Summary_Services!AB23</f>
        <v>0</v>
      </c>
      <c r="N26" s="70">
        <f>$G26*Summary_Services!AC23</f>
        <v>0</v>
      </c>
      <c r="O26" s="267">
        <f>$G26*Summary_Services!AD23</f>
        <v>0</v>
      </c>
      <c r="Q26" s="530">
        <f>$H26*Summary_Services!Y23</f>
        <v>0</v>
      </c>
      <c r="R26" s="70">
        <f>$H26*Summary_Services!Z23</f>
        <v>0</v>
      </c>
      <c r="S26" s="70">
        <f>$H26*Summary_Services!AA23</f>
        <v>0</v>
      </c>
      <c r="T26" s="70">
        <f>$H26*Summary_Services!AB23</f>
        <v>0</v>
      </c>
      <c r="U26" s="70">
        <f>$H26*Summary_Services!AC23</f>
        <v>0</v>
      </c>
      <c r="V26" s="267">
        <f>$H26*Summary_Services!AD23</f>
        <v>0</v>
      </c>
    </row>
    <row r="27" spans="1:22">
      <c r="A27" s="1">
        <v>19</v>
      </c>
      <c r="B27" s="412">
        <f>Summary_Services!B24</f>
        <v>0</v>
      </c>
      <c r="C27" s="412">
        <f>Summary_Services!C24</f>
        <v>0</v>
      </c>
      <c r="D27" s="412">
        <f>Summary_Services!F24</f>
        <v>0</v>
      </c>
      <c r="E27" s="526"/>
      <c r="F27" s="526"/>
      <c r="G27" s="526">
        <f t="shared" si="2"/>
        <v>0</v>
      </c>
      <c r="H27" s="527"/>
      <c r="J27" s="530">
        <f>$G27*Summary_Services!Y24</f>
        <v>0</v>
      </c>
      <c r="K27" s="70">
        <f>$G27*Summary_Services!Z24</f>
        <v>0</v>
      </c>
      <c r="L27" s="70">
        <f>$G27*Summary_Services!AA24</f>
        <v>0</v>
      </c>
      <c r="M27" s="70">
        <f>$G27*Summary_Services!AB24</f>
        <v>0</v>
      </c>
      <c r="N27" s="70">
        <f>$G27*Summary_Services!AC24</f>
        <v>0</v>
      </c>
      <c r="O27" s="267">
        <f>$G27*Summary_Services!AD24</f>
        <v>0</v>
      </c>
      <c r="Q27" s="530">
        <f>$H27*Summary_Services!Y24</f>
        <v>0</v>
      </c>
      <c r="R27" s="70">
        <f>$H27*Summary_Services!Z24</f>
        <v>0</v>
      </c>
      <c r="S27" s="70">
        <f>$H27*Summary_Services!AA24</f>
        <v>0</v>
      </c>
      <c r="T27" s="70">
        <f>$H27*Summary_Services!AB24</f>
        <v>0</v>
      </c>
      <c r="U27" s="70">
        <f>$H27*Summary_Services!AC24</f>
        <v>0</v>
      </c>
      <c r="V27" s="267">
        <f>$H27*Summary_Services!AD24</f>
        <v>0</v>
      </c>
    </row>
    <row r="28" spans="1:22">
      <c r="A28" s="1">
        <v>20</v>
      </c>
      <c r="B28" s="412">
        <f>Summary_Services!B25</f>
        <v>0</v>
      </c>
      <c r="C28" s="412">
        <f>Summary_Services!C25</f>
        <v>0</v>
      </c>
      <c r="D28" s="412">
        <f>Summary_Services!F25</f>
        <v>0</v>
      </c>
      <c r="E28" s="526"/>
      <c r="F28" s="526"/>
      <c r="G28" s="526">
        <f t="shared" si="2"/>
        <v>0</v>
      </c>
      <c r="H28" s="527"/>
      <c r="J28" s="530">
        <f>$G28*Summary_Services!Y25</f>
        <v>0</v>
      </c>
      <c r="K28" s="70">
        <f>$G28*Summary_Services!Z25</f>
        <v>0</v>
      </c>
      <c r="L28" s="70">
        <f>$G28*Summary_Services!AA25</f>
        <v>0</v>
      </c>
      <c r="M28" s="70">
        <f>$G28*Summary_Services!AB25</f>
        <v>0</v>
      </c>
      <c r="N28" s="70">
        <f>$G28*Summary_Services!AC25</f>
        <v>0</v>
      </c>
      <c r="O28" s="267">
        <f>$G28*Summary_Services!AD25</f>
        <v>0</v>
      </c>
      <c r="Q28" s="530">
        <f>$H28*Summary_Services!Y25</f>
        <v>0</v>
      </c>
      <c r="R28" s="70">
        <f>$H28*Summary_Services!Z25</f>
        <v>0</v>
      </c>
      <c r="S28" s="70">
        <f>$H28*Summary_Services!AA25</f>
        <v>0</v>
      </c>
      <c r="T28" s="70">
        <f>$H28*Summary_Services!AB25</f>
        <v>0</v>
      </c>
      <c r="U28" s="70">
        <f>$H28*Summary_Services!AC25</f>
        <v>0</v>
      </c>
      <c r="V28" s="267">
        <f>$H28*Summary_Services!AD25</f>
        <v>0</v>
      </c>
    </row>
    <row r="29" spans="1:22">
      <c r="A29" s="1">
        <v>21</v>
      </c>
      <c r="B29" s="412">
        <f>Summary_Services!B26</f>
        <v>0</v>
      </c>
      <c r="C29" s="412">
        <f>Summary_Services!C26</f>
        <v>0</v>
      </c>
      <c r="D29" s="412">
        <f>Summary_Services!F26</f>
        <v>0</v>
      </c>
      <c r="E29" s="526"/>
      <c r="F29" s="526"/>
      <c r="G29" s="526">
        <f t="shared" si="2"/>
        <v>0</v>
      </c>
      <c r="H29" s="527"/>
      <c r="J29" s="530">
        <f>$G29*Summary_Services!Y26</f>
        <v>0</v>
      </c>
      <c r="K29" s="70">
        <f>$G29*Summary_Services!Z26</f>
        <v>0</v>
      </c>
      <c r="L29" s="70">
        <f>$G29*Summary_Services!AA26</f>
        <v>0</v>
      </c>
      <c r="M29" s="70">
        <f>$G29*Summary_Services!AB26</f>
        <v>0</v>
      </c>
      <c r="N29" s="70">
        <f>$G29*Summary_Services!AC26</f>
        <v>0</v>
      </c>
      <c r="O29" s="267">
        <f>$G29*Summary_Services!AD26</f>
        <v>0</v>
      </c>
      <c r="Q29" s="530">
        <f>$H29*Summary_Services!Y26</f>
        <v>0</v>
      </c>
      <c r="R29" s="70">
        <f>$H29*Summary_Services!Z26</f>
        <v>0</v>
      </c>
      <c r="S29" s="70">
        <f>$H29*Summary_Services!AA26</f>
        <v>0</v>
      </c>
      <c r="T29" s="70">
        <f>$H29*Summary_Services!AB26</f>
        <v>0</v>
      </c>
      <c r="U29" s="70">
        <f>$H29*Summary_Services!AC26</f>
        <v>0</v>
      </c>
      <c r="V29" s="267">
        <f>$H29*Summary_Services!AD26</f>
        <v>0</v>
      </c>
    </row>
    <row r="30" spans="1:22">
      <c r="A30" s="1">
        <v>22</v>
      </c>
      <c r="B30" s="412">
        <f>Summary_Services!B27</f>
        <v>0</v>
      </c>
      <c r="C30" s="412">
        <f>Summary_Services!C27</f>
        <v>0</v>
      </c>
      <c r="D30" s="412">
        <f>Summary_Services!F27</f>
        <v>0</v>
      </c>
      <c r="E30" s="526"/>
      <c r="F30" s="526"/>
      <c r="G30" s="526">
        <f t="shared" si="2"/>
        <v>0</v>
      </c>
      <c r="H30" s="527"/>
      <c r="J30" s="530">
        <f>$G30*Summary_Services!Y27</f>
        <v>0</v>
      </c>
      <c r="K30" s="70">
        <f>$G30*Summary_Services!Z27</f>
        <v>0</v>
      </c>
      <c r="L30" s="70">
        <f>$G30*Summary_Services!AA27</f>
        <v>0</v>
      </c>
      <c r="M30" s="70">
        <f>$G30*Summary_Services!AB27</f>
        <v>0</v>
      </c>
      <c r="N30" s="70">
        <f>$G30*Summary_Services!AC27</f>
        <v>0</v>
      </c>
      <c r="O30" s="267">
        <f>$G30*Summary_Services!AD27</f>
        <v>0</v>
      </c>
      <c r="Q30" s="530">
        <f>$H30*Summary_Services!Y27</f>
        <v>0</v>
      </c>
      <c r="R30" s="70">
        <f>$H30*Summary_Services!Z27</f>
        <v>0</v>
      </c>
      <c r="S30" s="70">
        <f>$H30*Summary_Services!AA27</f>
        <v>0</v>
      </c>
      <c r="T30" s="70">
        <f>$H30*Summary_Services!AB27</f>
        <v>0</v>
      </c>
      <c r="U30" s="70">
        <f>$H30*Summary_Services!AC27</f>
        <v>0</v>
      </c>
      <c r="V30" s="267">
        <f>$H30*Summary_Services!AD27</f>
        <v>0</v>
      </c>
    </row>
    <row r="31" spans="1:22">
      <c r="A31" s="1">
        <v>23</v>
      </c>
      <c r="B31" s="412">
        <f>Summary_Services!B28</f>
        <v>0</v>
      </c>
      <c r="C31" s="412">
        <f>Summary_Services!C28</f>
        <v>0</v>
      </c>
      <c r="D31" s="412">
        <f>Summary_Services!F28</f>
        <v>0</v>
      </c>
      <c r="E31" s="526"/>
      <c r="F31" s="526"/>
      <c r="G31" s="526">
        <f t="shared" si="2"/>
        <v>0</v>
      </c>
      <c r="H31" s="527"/>
      <c r="J31" s="530">
        <f>$G31*Summary_Services!Y28</f>
        <v>0</v>
      </c>
      <c r="K31" s="70">
        <f>$G31*Summary_Services!Z28</f>
        <v>0</v>
      </c>
      <c r="L31" s="70">
        <f>$G31*Summary_Services!AA28</f>
        <v>0</v>
      </c>
      <c r="M31" s="70">
        <f>$G31*Summary_Services!AB28</f>
        <v>0</v>
      </c>
      <c r="N31" s="70">
        <f>$G31*Summary_Services!AC28</f>
        <v>0</v>
      </c>
      <c r="O31" s="267">
        <f>$G31*Summary_Services!AD28</f>
        <v>0</v>
      </c>
      <c r="Q31" s="530">
        <f>$H31*Summary_Services!Y28</f>
        <v>0</v>
      </c>
      <c r="R31" s="70">
        <f>$H31*Summary_Services!Z28</f>
        <v>0</v>
      </c>
      <c r="S31" s="70">
        <f>$H31*Summary_Services!AA28</f>
        <v>0</v>
      </c>
      <c r="T31" s="70">
        <f>$H31*Summary_Services!AB28</f>
        <v>0</v>
      </c>
      <c r="U31" s="70">
        <f>$H31*Summary_Services!AC28</f>
        <v>0</v>
      </c>
      <c r="V31" s="267">
        <f>$H31*Summary_Services!AD28</f>
        <v>0</v>
      </c>
    </row>
    <row r="32" spans="1:22">
      <c r="A32" s="1">
        <v>24</v>
      </c>
      <c r="B32" s="412">
        <f>Summary_Services!B29</f>
        <v>0</v>
      </c>
      <c r="C32" s="412">
        <f>Summary_Services!C29</f>
        <v>0</v>
      </c>
      <c r="D32" s="412">
        <f>Summary_Services!F29</f>
        <v>0</v>
      </c>
      <c r="E32" s="526"/>
      <c r="F32" s="526"/>
      <c r="G32" s="526">
        <f t="shared" si="2"/>
        <v>0</v>
      </c>
      <c r="H32" s="527"/>
      <c r="J32" s="530">
        <f>$G32*Summary_Services!Y29</f>
        <v>0</v>
      </c>
      <c r="K32" s="70">
        <f>$G32*Summary_Services!Z29</f>
        <v>0</v>
      </c>
      <c r="L32" s="70">
        <f>$G32*Summary_Services!AA29</f>
        <v>0</v>
      </c>
      <c r="M32" s="70">
        <f>$G32*Summary_Services!AB29</f>
        <v>0</v>
      </c>
      <c r="N32" s="70">
        <f>$G32*Summary_Services!AC29</f>
        <v>0</v>
      </c>
      <c r="O32" s="267">
        <f>$G32*Summary_Services!AD29</f>
        <v>0</v>
      </c>
      <c r="Q32" s="530">
        <f>$H32*Summary_Services!Y29</f>
        <v>0</v>
      </c>
      <c r="R32" s="70">
        <f>$H32*Summary_Services!Z29</f>
        <v>0</v>
      </c>
      <c r="S32" s="70">
        <f>$H32*Summary_Services!AA29</f>
        <v>0</v>
      </c>
      <c r="T32" s="70">
        <f>$H32*Summary_Services!AB29</f>
        <v>0</v>
      </c>
      <c r="U32" s="70">
        <f>$H32*Summary_Services!AC29</f>
        <v>0</v>
      </c>
      <c r="V32" s="267">
        <f>$H32*Summary_Services!AD29</f>
        <v>0</v>
      </c>
    </row>
    <row r="33" spans="1:22">
      <c r="A33" s="1">
        <v>25</v>
      </c>
      <c r="B33" s="412">
        <f>Summary_Services!B30</f>
        <v>0</v>
      </c>
      <c r="C33" s="412">
        <f>Summary_Services!C30</f>
        <v>0</v>
      </c>
      <c r="D33" s="412">
        <f>Summary_Services!F30</f>
        <v>0</v>
      </c>
      <c r="E33" s="526"/>
      <c r="F33" s="526"/>
      <c r="G33" s="526">
        <f t="shared" si="2"/>
        <v>0</v>
      </c>
      <c r="H33" s="527"/>
      <c r="J33" s="530">
        <f>$G33*Summary_Services!Y30</f>
        <v>0</v>
      </c>
      <c r="K33" s="70">
        <f>$G33*Summary_Services!Z30</f>
        <v>0</v>
      </c>
      <c r="L33" s="70">
        <f>$G33*Summary_Services!AA30</f>
        <v>0</v>
      </c>
      <c r="M33" s="70">
        <f>$G33*Summary_Services!AB30</f>
        <v>0</v>
      </c>
      <c r="N33" s="70">
        <f>$G33*Summary_Services!AC30</f>
        <v>0</v>
      </c>
      <c r="O33" s="267">
        <f>$G33*Summary_Services!AD30</f>
        <v>0</v>
      </c>
      <c r="Q33" s="530">
        <f>$H33*Summary_Services!Y30</f>
        <v>0</v>
      </c>
      <c r="R33" s="70">
        <f>$H33*Summary_Services!Z30</f>
        <v>0</v>
      </c>
      <c r="S33" s="70">
        <f>$H33*Summary_Services!AA30</f>
        <v>0</v>
      </c>
      <c r="T33" s="70">
        <f>$H33*Summary_Services!AB30</f>
        <v>0</v>
      </c>
      <c r="U33" s="70">
        <f>$H33*Summary_Services!AC30</f>
        <v>0</v>
      </c>
      <c r="V33" s="267">
        <f>$H33*Summary_Services!AD30</f>
        <v>0</v>
      </c>
    </row>
    <row r="34" spans="1:22">
      <c r="A34" s="1">
        <v>26</v>
      </c>
      <c r="B34" s="412">
        <f>Summary_Services!B31</f>
        <v>0</v>
      </c>
      <c r="C34" s="412">
        <f>Summary_Services!C31</f>
        <v>0</v>
      </c>
      <c r="D34" s="412">
        <f>Summary_Services!F31</f>
        <v>0</v>
      </c>
      <c r="E34" s="526"/>
      <c r="F34" s="526"/>
      <c r="G34" s="526">
        <f t="shared" si="2"/>
        <v>0</v>
      </c>
      <c r="H34" s="527"/>
      <c r="J34" s="530">
        <f>$G34*Summary_Services!Y31</f>
        <v>0</v>
      </c>
      <c r="K34" s="70">
        <f>$G34*Summary_Services!Z31</f>
        <v>0</v>
      </c>
      <c r="L34" s="70">
        <f>$G34*Summary_Services!AA31</f>
        <v>0</v>
      </c>
      <c r="M34" s="70">
        <f>$G34*Summary_Services!AB31</f>
        <v>0</v>
      </c>
      <c r="N34" s="70">
        <f>$G34*Summary_Services!AC31</f>
        <v>0</v>
      </c>
      <c r="O34" s="267">
        <f>$G34*Summary_Services!AD31</f>
        <v>0</v>
      </c>
      <c r="Q34" s="530">
        <f>$H34*Summary_Services!Y31</f>
        <v>0</v>
      </c>
      <c r="R34" s="70">
        <f>$H34*Summary_Services!Z31</f>
        <v>0</v>
      </c>
      <c r="S34" s="70">
        <f>$H34*Summary_Services!AA31</f>
        <v>0</v>
      </c>
      <c r="T34" s="70">
        <f>$H34*Summary_Services!AB31</f>
        <v>0</v>
      </c>
      <c r="U34" s="70">
        <f>$H34*Summary_Services!AC31</f>
        <v>0</v>
      </c>
      <c r="V34" s="267">
        <f>$H34*Summary_Services!AD31</f>
        <v>0</v>
      </c>
    </row>
    <row r="35" spans="1:22">
      <c r="A35" s="1">
        <v>27</v>
      </c>
      <c r="B35" s="412">
        <f>Summary_Services!B32</f>
        <v>0</v>
      </c>
      <c r="C35" s="412">
        <f>Summary_Services!C32</f>
        <v>0</v>
      </c>
      <c r="D35" s="412">
        <f>Summary_Services!F32</f>
        <v>0</v>
      </c>
      <c r="E35" s="526"/>
      <c r="F35" s="526"/>
      <c r="G35" s="526">
        <f t="shared" si="2"/>
        <v>0</v>
      </c>
      <c r="H35" s="527"/>
      <c r="J35" s="530">
        <f>$G35*Summary_Services!Y32</f>
        <v>0</v>
      </c>
      <c r="K35" s="70">
        <f>$G35*Summary_Services!Z32</f>
        <v>0</v>
      </c>
      <c r="L35" s="70">
        <f>$G35*Summary_Services!AA32</f>
        <v>0</v>
      </c>
      <c r="M35" s="70">
        <f>$G35*Summary_Services!AB32</f>
        <v>0</v>
      </c>
      <c r="N35" s="70">
        <f>$G35*Summary_Services!AC32</f>
        <v>0</v>
      </c>
      <c r="O35" s="267">
        <f>$G35*Summary_Services!AD32</f>
        <v>0</v>
      </c>
      <c r="Q35" s="530">
        <f>$H35*Summary_Services!Y32</f>
        <v>0</v>
      </c>
      <c r="R35" s="70">
        <f>$H35*Summary_Services!Z32</f>
        <v>0</v>
      </c>
      <c r="S35" s="70">
        <f>$H35*Summary_Services!AA32</f>
        <v>0</v>
      </c>
      <c r="T35" s="70">
        <f>$H35*Summary_Services!AB32</f>
        <v>0</v>
      </c>
      <c r="U35" s="70">
        <f>$H35*Summary_Services!AC32</f>
        <v>0</v>
      </c>
      <c r="V35" s="267">
        <f>$H35*Summary_Services!AD32</f>
        <v>0</v>
      </c>
    </row>
    <row r="36" spans="1:22">
      <c r="A36" s="1">
        <v>28</v>
      </c>
      <c r="B36" s="412">
        <f>Summary_Services!B33</f>
        <v>0</v>
      </c>
      <c r="C36" s="412">
        <f>Summary_Services!C33</f>
        <v>0</v>
      </c>
      <c r="D36" s="412">
        <f>Summary_Services!F33</f>
        <v>0</v>
      </c>
      <c r="E36" s="526"/>
      <c r="F36" s="526"/>
      <c r="G36" s="526">
        <f t="shared" si="2"/>
        <v>0</v>
      </c>
      <c r="H36" s="527"/>
      <c r="J36" s="530">
        <f>$G36*Summary_Services!Y33</f>
        <v>0</v>
      </c>
      <c r="K36" s="70">
        <f>$G36*Summary_Services!Z33</f>
        <v>0</v>
      </c>
      <c r="L36" s="70">
        <f>$G36*Summary_Services!AA33</f>
        <v>0</v>
      </c>
      <c r="M36" s="70">
        <f>$G36*Summary_Services!AB33</f>
        <v>0</v>
      </c>
      <c r="N36" s="70">
        <f>$G36*Summary_Services!AC33</f>
        <v>0</v>
      </c>
      <c r="O36" s="267">
        <f>$G36*Summary_Services!AD33</f>
        <v>0</v>
      </c>
      <c r="Q36" s="530">
        <f>$H36*Summary_Services!Y33</f>
        <v>0</v>
      </c>
      <c r="R36" s="70">
        <f>$H36*Summary_Services!Z33</f>
        <v>0</v>
      </c>
      <c r="S36" s="70">
        <f>$H36*Summary_Services!AA33</f>
        <v>0</v>
      </c>
      <c r="T36" s="70">
        <f>$H36*Summary_Services!AB33</f>
        <v>0</v>
      </c>
      <c r="U36" s="70">
        <f>$H36*Summary_Services!AC33</f>
        <v>0</v>
      </c>
      <c r="V36" s="267">
        <f>$H36*Summary_Services!AD33</f>
        <v>0</v>
      </c>
    </row>
    <row r="37" spans="1:22">
      <c r="A37" s="1">
        <v>29</v>
      </c>
      <c r="B37" s="412">
        <f>Summary_Services!B34</f>
        <v>0</v>
      </c>
      <c r="C37" s="412">
        <f>Summary_Services!C34</f>
        <v>0</v>
      </c>
      <c r="D37" s="412">
        <f>Summary_Services!F34</f>
        <v>0</v>
      </c>
      <c r="E37" s="526"/>
      <c r="F37" s="526"/>
      <c r="G37" s="526">
        <f t="shared" si="2"/>
        <v>0</v>
      </c>
      <c r="H37" s="527"/>
      <c r="J37" s="530">
        <f>$G37*Summary_Services!Y34</f>
        <v>0</v>
      </c>
      <c r="K37" s="70">
        <f>$G37*Summary_Services!Z34</f>
        <v>0</v>
      </c>
      <c r="L37" s="70">
        <f>$G37*Summary_Services!AA34</f>
        <v>0</v>
      </c>
      <c r="M37" s="70">
        <f>$G37*Summary_Services!AB34</f>
        <v>0</v>
      </c>
      <c r="N37" s="70">
        <f>$G37*Summary_Services!AC34</f>
        <v>0</v>
      </c>
      <c r="O37" s="267">
        <f>$G37*Summary_Services!AD34</f>
        <v>0</v>
      </c>
      <c r="Q37" s="530">
        <f>$H37*Summary_Services!Y34</f>
        <v>0</v>
      </c>
      <c r="R37" s="70">
        <f>$H37*Summary_Services!Z34</f>
        <v>0</v>
      </c>
      <c r="S37" s="70">
        <f>$H37*Summary_Services!AA34</f>
        <v>0</v>
      </c>
      <c r="T37" s="70">
        <f>$H37*Summary_Services!AB34</f>
        <v>0</v>
      </c>
      <c r="U37" s="70">
        <f>$H37*Summary_Services!AC34</f>
        <v>0</v>
      </c>
      <c r="V37" s="267">
        <f>$H37*Summary_Services!AD34</f>
        <v>0</v>
      </c>
    </row>
    <row r="38" spans="1:22">
      <c r="A38" s="1">
        <v>30</v>
      </c>
      <c r="B38" s="412">
        <f>Summary_Services!B35</f>
        <v>0</v>
      </c>
      <c r="C38" s="412">
        <f>Summary_Services!C35</f>
        <v>0</v>
      </c>
      <c r="D38" s="412">
        <f>Summary_Services!F35</f>
        <v>0</v>
      </c>
      <c r="E38" s="526"/>
      <c r="F38" s="526"/>
      <c r="G38" s="526">
        <f t="shared" si="2"/>
        <v>0</v>
      </c>
      <c r="H38" s="527"/>
      <c r="J38" s="530">
        <f>$G38*Summary_Services!Y35</f>
        <v>0</v>
      </c>
      <c r="K38" s="70">
        <f>$G38*Summary_Services!Z35</f>
        <v>0</v>
      </c>
      <c r="L38" s="70">
        <f>$G38*Summary_Services!AA35</f>
        <v>0</v>
      </c>
      <c r="M38" s="70">
        <f>$G38*Summary_Services!AB35</f>
        <v>0</v>
      </c>
      <c r="N38" s="70">
        <f>$G38*Summary_Services!AC35</f>
        <v>0</v>
      </c>
      <c r="O38" s="267">
        <f>$G38*Summary_Services!AD35</f>
        <v>0</v>
      </c>
      <c r="Q38" s="530">
        <f>$H38*Summary_Services!Y35</f>
        <v>0</v>
      </c>
      <c r="R38" s="70">
        <f>$H38*Summary_Services!Z35</f>
        <v>0</v>
      </c>
      <c r="S38" s="70">
        <f>$H38*Summary_Services!AA35</f>
        <v>0</v>
      </c>
      <c r="T38" s="70">
        <f>$H38*Summary_Services!AB35</f>
        <v>0</v>
      </c>
      <c r="U38" s="70">
        <f>$H38*Summary_Services!AC35</f>
        <v>0</v>
      </c>
      <c r="V38" s="267">
        <f>$H38*Summary_Services!AD35</f>
        <v>0</v>
      </c>
    </row>
    <row r="39" spans="1:22">
      <c r="A39" s="1">
        <v>31</v>
      </c>
      <c r="B39" s="412">
        <f>Summary_Services!B36</f>
        <v>0</v>
      </c>
      <c r="C39" s="412">
        <f>Summary_Services!C36</f>
        <v>0</v>
      </c>
      <c r="D39" s="412">
        <f>Summary_Services!F36</f>
        <v>0</v>
      </c>
      <c r="E39" s="526"/>
      <c r="F39" s="526"/>
      <c r="G39" s="526">
        <f t="shared" si="2"/>
        <v>0</v>
      </c>
      <c r="H39" s="527"/>
      <c r="J39" s="530">
        <f>$G39*Summary_Services!Y36</f>
        <v>0</v>
      </c>
      <c r="K39" s="70">
        <f>$G39*Summary_Services!Z36</f>
        <v>0</v>
      </c>
      <c r="L39" s="70">
        <f>$G39*Summary_Services!AA36</f>
        <v>0</v>
      </c>
      <c r="M39" s="70">
        <f>$G39*Summary_Services!AB36</f>
        <v>0</v>
      </c>
      <c r="N39" s="70">
        <f>$G39*Summary_Services!AC36</f>
        <v>0</v>
      </c>
      <c r="O39" s="267">
        <f>$G39*Summary_Services!AD36</f>
        <v>0</v>
      </c>
      <c r="Q39" s="530">
        <f>$H39*Summary_Services!Y36</f>
        <v>0</v>
      </c>
      <c r="R39" s="70">
        <f>$H39*Summary_Services!Z36</f>
        <v>0</v>
      </c>
      <c r="S39" s="70">
        <f>$H39*Summary_Services!AA36</f>
        <v>0</v>
      </c>
      <c r="T39" s="70">
        <f>$H39*Summary_Services!AB36</f>
        <v>0</v>
      </c>
      <c r="U39" s="70">
        <f>$H39*Summary_Services!AC36</f>
        <v>0</v>
      </c>
      <c r="V39" s="267">
        <f>$H39*Summary_Services!AD36</f>
        <v>0</v>
      </c>
    </row>
    <row r="40" spans="1:22">
      <c r="A40" s="1">
        <v>32</v>
      </c>
      <c r="B40" s="412">
        <f>Summary_Services!B37</f>
        <v>0</v>
      </c>
      <c r="C40" s="412">
        <f>Summary_Services!C37</f>
        <v>0</v>
      </c>
      <c r="D40" s="412">
        <f>Summary_Services!F37</f>
        <v>0</v>
      </c>
      <c r="E40" s="526"/>
      <c r="F40" s="526"/>
      <c r="G40" s="526">
        <f t="shared" si="2"/>
        <v>0</v>
      </c>
      <c r="H40" s="527"/>
      <c r="J40" s="530">
        <f>$G40*Summary_Services!Y37</f>
        <v>0</v>
      </c>
      <c r="K40" s="70">
        <f>$G40*Summary_Services!Z37</f>
        <v>0</v>
      </c>
      <c r="L40" s="70">
        <f>$G40*Summary_Services!AA37</f>
        <v>0</v>
      </c>
      <c r="M40" s="70">
        <f>$G40*Summary_Services!AB37</f>
        <v>0</v>
      </c>
      <c r="N40" s="70">
        <f>$G40*Summary_Services!AC37</f>
        <v>0</v>
      </c>
      <c r="O40" s="267">
        <f>$G40*Summary_Services!AD37</f>
        <v>0</v>
      </c>
      <c r="Q40" s="530">
        <f>$H40*Summary_Services!Y37</f>
        <v>0</v>
      </c>
      <c r="R40" s="70">
        <f>$H40*Summary_Services!Z37</f>
        <v>0</v>
      </c>
      <c r="S40" s="70">
        <f>$H40*Summary_Services!AA37</f>
        <v>0</v>
      </c>
      <c r="T40" s="70">
        <f>$H40*Summary_Services!AB37</f>
        <v>0</v>
      </c>
      <c r="U40" s="70">
        <f>$H40*Summary_Services!AC37</f>
        <v>0</v>
      </c>
      <c r="V40" s="267">
        <f>$H40*Summary_Services!AD37</f>
        <v>0</v>
      </c>
    </row>
    <row r="41" spans="1:22">
      <c r="A41" s="1">
        <v>33</v>
      </c>
      <c r="B41" s="412">
        <f>Summary_Services!B38</f>
        <v>0</v>
      </c>
      <c r="C41" s="412">
        <f>Summary_Services!C38</f>
        <v>0</v>
      </c>
      <c r="D41" s="412">
        <f>Summary_Services!F38</f>
        <v>0</v>
      </c>
      <c r="E41" s="526"/>
      <c r="F41" s="526"/>
      <c r="G41" s="526">
        <f t="shared" si="2"/>
        <v>0</v>
      </c>
      <c r="H41" s="527"/>
      <c r="J41" s="530">
        <f>$G41*Summary_Services!Y38</f>
        <v>0</v>
      </c>
      <c r="K41" s="70">
        <f>$G41*Summary_Services!Z38</f>
        <v>0</v>
      </c>
      <c r="L41" s="70">
        <f>$G41*Summary_Services!AA38</f>
        <v>0</v>
      </c>
      <c r="M41" s="70">
        <f>$G41*Summary_Services!AB38</f>
        <v>0</v>
      </c>
      <c r="N41" s="70">
        <f>$G41*Summary_Services!AC38</f>
        <v>0</v>
      </c>
      <c r="O41" s="267">
        <f>$G41*Summary_Services!AD38</f>
        <v>0</v>
      </c>
      <c r="Q41" s="530">
        <f>$H41*Summary_Services!Y38</f>
        <v>0</v>
      </c>
      <c r="R41" s="70">
        <f>$H41*Summary_Services!Z38</f>
        <v>0</v>
      </c>
      <c r="S41" s="70">
        <f>$H41*Summary_Services!AA38</f>
        <v>0</v>
      </c>
      <c r="T41" s="70">
        <f>$H41*Summary_Services!AB38</f>
        <v>0</v>
      </c>
      <c r="U41" s="70">
        <f>$H41*Summary_Services!AC38</f>
        <v>0</v>
      </c>
      <c r="V41" s="267">
        <f>$H41*Summary_Services!AD38</f>
        <v>0</v>
      </c>
    </row>
    <row r="42" spans="1:22">
      <c r="A42" s="1">
        <v>34</v>
      </c>
      <c r="B42" s="412">
        <f>Summary_Services!B39</f>
        <v>0</v>
      </c>
      <c r="C42" s="412">
        <f>Summary_Services!C39</f>
        <v>0</v>
      </c>
      <c r="D42" s="412">
        <f>Summary_Services!F39</f>
        <v>0</v>
      </c>
      <c r="E42" s="526"/>
      <c r="F42" s="526"/>
      <c r="G42" s="526">
        <f t="shared" si="2"/>
        <v>0</v>
      </c>
      <c r="H42" s="527"/>
      <c r="J42" s="530">
        <f>$G42*Summary_Services!Y39</f>
        <v>0</v>
      </c>
      <c r="K42" s="70">
        <f>$G42*Summary_Services!Z39</f>
        <v>0</v>
      </c>
      <c r="L42" s="70">
        <f>$G42*Summary_Services!AA39</f>
        <v>0</v>
      </c>
      <c r="M42" s="70">
        <f>$G42*Summary_Services!AB39</f>
        <v>0</v>
      </c>
      <c r="N42" s="70">
        <f>$G42*Summary_Services!AC39</f>
        <v>0</v>
      </c>
      <c r="O42" s="267">
        <f>$G42*Summary_Services!AD39</f>
        <v>0</v>
      </c>
      <c r="Q42" s="530">
        <f>$H42*Summary_Services!Y39</f>
        <v>0</v>
      </c>
      <c r="R42" s="70">
        <f>$H42*Summary_Services!Z39</f>
        <v>0</v>
      </c>
      <c r="S42" s="70">
        <f>$H42*Summary_Services!AA39</f>
        <v>0</v>
      </c>
      <c r="T42" s="70">
        <f>$H42*Summary_Services!AB39</f>
        <v>0</v>
      </c>
      <c r="U42" s="70">
        <f>$H42*Summary_Services!AC39</f>
        <v>0</v>
      </c>
      <c r="V42" s="267">
        <f>$H42*Summary_Services!AD39</f>
        <v>0</v>
      </c>
    </row>
    <row r="43" spans="1:22">
      <c r="A43" s="1">
        <v>35</v>
      </c>
      <c r="B43" s="412">
        <f>Summary_Services!B40</f>
        <v>0</v>
      </c>
      <c r="C43" s="412">
        <f>Summary_Services!C40</f>
        <v>0</v>
      </c>
      <c r="D43" s="412">
        <f>Summary_Services!F40</f>
        <v>0</v>
      </c>
      <c r="E43" s="526"/>
      <c r="F43" s="526"/>
      <c r="G43" s="526">
        <f t="shared" si="2"/>
        <v>0</v>
      </c>
      <c r="H43" s="527"/>
      <c r="J43" s="530">
        <f>$G43*Summary_Services!Y40</f>
        <v>0</v>
      </c>
      <c r="K43" s="70">
        <f>$G43*Summary_Services!Z40</f>
        <v>0</v>
      </c>
      <c r="L43" s="70">
        <f>$G43*Summary_Services!AA40</f>
        <v>0</v>
      </c>
      <c r="M43" s="70">
        <f>$G43*Summary_Services!AB40</f>
        <v>0</v>
      </c>
      <c r="N43" s="70">
        <f>$G43*Summary_Services!AC40</f>
        <v>0</v>
      </c>
      <c r="O43" s="267">
        <f>$G43*Summary_Services!AD40</f>
        <v>0</v>
      </c>
      <c r="Q43" s="530">
        <f>$H43*Summary_Services!Y40</f>
        <v>0</v>
      </c>
      <c r="R43" s="70">
        <f>$H43*Summary_Services!Z40</f>
        <v>0</v>
      </c>
      <c r="S43" s="70">
        <f>$H43*Summary_Services!AA40</f>
        <v>0</v>
      </c>
      <c r="T43" s="70">
        <f>$H43*Summary_Services!AB40</f>
        <v>0</v>
      </c>
      <c r="U43" s="70">
        <f>$H43*Summary_Services!AC40</f>
        <v>0</v>
      </c>
      <c r="V43" s="267">
        <f>$H43*Summary_Services!AD40</f>
        <v>0</v>
      </c>
    </row>
    <row r="44" spans="1:22">
      <c r="A44" s="1">
        <v>36</v>
      </c>
      <c r="B44" s="412">
        <f>Summary_Services!B41</f>
        <v>0</v>
      </c>
      <c r="C44" s="412">
        <f>Summary_Services!C41</f>
        <v>0</v>
      </c>
      <c r="D44" s="412">
        <f>Summary_Services!F41</f>
        <v>0</v>
      </c>
      <c r="E44" s="526"/>
      <c r="F44" s="526"/>
      <c r="G44" s="526">
        <f t="shared" si="2"/>
        <v>0</v>
      </c>
      <c r="H44" s="527"/>
      <c r="J44" s="530">
        <f>$G44*Summary_Services!Y41</f>
        <v>0</v>
      </c>
      <c r="K44" s="70">
        <f>$G44*Summary_Services!Z41</f>
        <v>0</v>
      </c>
      <c r="L44" s="70">
        <f>$G44*Summary_Services!AA41</f>
        <v>0</v>
      </c>
      <c r="M44" s="70">
        <f>$G44*Summary_Services!AB41</f>
        <v>0</v>
      </c>
      <c r="N44" s="70">
        <f>$G44*Summary_Services!AC41</f>
        <v>0</v>
      </c>
      <c r="O44" s="267">
        <f>$G44*Summary_Services!AD41</f>
        <v>0</v>
      </c>
      <c r="Q44" s="530">
        <f>$H44*Summary_Services!Y41</f>
        <v>0</v>
      </c>
      <c r="R44" s="70">
        <f>$H44*Summary_Services!Z41</f>
        <v>0</v>
      </c>
      <c r="S44" s="70">
        <f>$H44*Summary_Services!AA41</f>
        <v>0</v>
      </c>
      <c r="T44" s="70">
        <f>$H44*Summary_Services!AB41</f>
        <v>0</v>
      </c>
      <c r="U44" s="70">
        <f>$H44*Summary_Services!AC41</f>
        <v>0</v>
      </c>
      <c r="V44" s="267">
        <f>$H44*Summary_Services!AD41</f>
        <v>0</v>
      </c>
    </row>
    <row r="45" spans="1:22">
      <c r="A45" s="1">
        <v>37</v>
      </c>
      <c r="B45" s="412">
        <f>Summary_Services!B42</f>
        <v>0</v>
      </c>
      <c r="C45" s="412">
        <f>Summary_Services!C42</f>
        <v>0</v>
      </c>
      <c r="D45" s="412">
        <f>Summary_Services!F42</f>
        <v>0</v>
      </c>
      <c r="E45" s="526"/>
      <c r="F45" s="526"/>
      <c r="G45" s="526">
        <f t="shared" si="2"/>
        <v>0</v>
      </c>
      <c r="H45" s="527"/>
      <c r="J45" s="530">
        <f>$G45*Summary_Services!Y42</f>
        <v>0</v>
      </c>
      <c r="K45" s="70">
        <f>$G45*Summary_Services!Z42</f>
        <v>0</v>
      </c>
      <c r="L45" s="70">
        <f>$G45*Summary_Services!AA42</f>
        <v>0</v>
      </c>
      <c r="M45" s="70">
        <f>$G45*Summary_Services!AB42</f>
        <v>0</v>
      </c>
      <c r="N45" s="70">
        <f>$G45*Summary_Services!AC42</f>
        <v>0</v>
      </c>
      <c r="O45" s="267">
        <f>$G45*Summary_Services!AD42</f>
        <v>0</v>
      </c>
      <c r="Q45" s="530">
        <f>$H45*Summary_Services!Y42</f>
        <v>0</v>
      </c>
      <c r="R45" s="70">
        <f>$H45*Summary_Services!Z42</f>
        <v>0</v>
      </c>
      <c r="S45" s="70">
        <f>$H45*Summary_Services!AA42</f>
        <v>0</v>
      </c>
      <c r="T45" s="70">
        <f>$H45*Summary_Services!AB42</f>
        <v>0</v>
      </c>
      <c r="U45" s="70">
        <f>$H45*Summary_Services!AC42</f>
        <v>0</v>
      </c>
      <c r="V45" s="267">
        <f>$H45*Summary_Services!AD42</f>
        <v>0</v>
      </c>
    </row>
    <row r="46" spans="1:22">
      <c r="A46" s="1">
        <v>38</v>
      </c>
      <c r="B46" s="412">
        <f>Summary_Services!B43</f>
        <v>0</v>
      </c>
      <c r="C46" s="412">
        <f>Summary_Services!C43</f>
        <v>0</v>
      </c>
      <c r="D46" s="412">
        <f>Summary_Services!F43</f>
        <v>0</v>
      </c>
      <c r="E46" s="526"/>
      <c r="F46" s="526"/>
      <c r="G46" s="526">
        <f t="shared" si="2"/>
        <v>0</v>
      </c>
      <c r="H46" s="527"/>
      <c r="J46" s="530">
        <f>$G46*Summary_Services!Y43</f>
        <v>0</v>
      </c>
      <c r="K46" s="70">
        <f>$G46*Summary_Services!Z43</f>
        <v>0</v>
      </c>
      <c r="L46" s="70">
        <f>$G46*Summary_Services!AA43</f>
        <v>0</v>
      </c>
      <c r="M46" s="70">
        <f>$G46*Summary_Services!AB43</f>
        <v>0</v>
      </c>
      <c r="N46" s="70">
        <f>$G46*Summary_Services!AC43</f>
        <v>0</v>
      </c>
      <c r="O46" s="267">
        <f>$G46*Summary_Services!AD43</f>
        <v>0</v>
      </c>
      <c r="Q46" s="530">
        <f>$H46*Summary_Services!Y43</f>
        <v>0</v>
      </c>
      <c r="R46" s="70">
        <f>$H46*Summary_Services!Z43</f>
        <v>0</v>
      </c>
      <c r="S46" s="70">
        <f>$H46*Summary_Services!AA43</f>
        <v>0</v>
      </c>
      <c r="T46" s="70">
        <f>$H46*Summary_Services!AB43</f>
        <v>0</v>
      </c>
      <c r="U46" s="70">
        <f>$H46*Summary_Services!AC43</f>
        <v>0</v>
      </c>
      <c r="V46" s="267">
        <f>$H46*Summary_Services!AD43</f>
        <v>0</v>
      </c>
    </row>
    <row r="47" spans="1:22">
      <c r="A47" s="1">
        <v>39</v>
      </c>
      <c r="B47" s="412">
        <f>Summary_Services!B44</f>
        <v>0</v>
      </c>
      <c r="C47" s="412">
        <f>Summary_Services!C44</f>
        <v>0</v>
      </c>
      <c r="D47" s="412">
        <f>Summary_Services!F44</f>
        <v>0</v>
      </c>
      <c r="E47" s="526"/>
      <c r="F47" s="526"/>
      <c r="G47" s="526">
        <f t="shared" si="2"/>
        <v>0</v>
      </c>
      <c r="H47" s="527"/>
      <c r="J47" s="530">
        <f>$G47*Summary_Services!Y44</f>
        <v>0</v>
      </c>
      <c r="K47" s="70">
        <f>$G47*Summary_Services!Z44</f>
        <v>0</v>
      </c>
      <c r="L47" s="70">
        <f>$G47*Summary_Services!AA44</f>
        <v>0</v>
      </c>
      <c r="M47" s="70">
        <f>$G47*Summary_Services!AB44</f>
        <v>0</v>
      </c>
      <c r="N47" s="70">
        <f>$G47*Summary_Services!AC44</f>
        <v>0</v>
      </c>
      <c r="O47" s="267">
        <f>$G47*Summary_Services!AD44</f>
        <v>0</v>
      </c>
      <c r="Q47" s="530">
        <f>$H47*Summary_Services!Y44</f>
        <v>0</v>
      </c>
      <c r="R47" s="70">
        <f>$H47*Summary_Services!Z44</f>
        <v>0</v>
      </c>
      <c r="S47" s="70">
        <f>$H47*Summary_Services!AA44</f>
        <v>0</v>
      </c>
      <c r="T47" s="70">
        <f>$H47*Summary_Services!AB44</f>
        <v>0</v>
      </c>
      <c r="U47" s="70">
        <f>$H47*Summary_Services!AC44</f>
        <v>0</v>
      </c>
      <c r="V47" s="267">
        <f>$H47*Summary_Services!AD44</f>
        <v>0</v>
      </c>
    </row>
    <row r="48" spans="1:22">
      <c r="A48" s="1">
        <v>40</v>
      </c>
      <c r="B48" s="412">
        <f>Summary_Services!B45</f>
        <v>0</v>
      </c>
      <c r="C48" s="412">
        <f>Summary_Services!C45</f>
        <v>0</v>
      </c>
      <c r="D48" s="412">
        <f>Summary_Services!F45</f>
        <v>0</v>
      </c>
      <c r="E48" s="526"/>
      <c r="F48" s="526"/>
      <c r="G48" s="526">
        <f t="shared" si="2"/>
        <v>0</v>
      </c>
      <c r="H48" s="527"/>
      <c r="J48" s="530">
        <f>$G48*Summary_Services!Y45</f>
        <v>0</v>
      </c>
      <c r="K48" s="70">
        <f>$G48*Summary_Services!Z45</f>
        <v>0</v>
      </c>
      <c r="L48" s="70">
        <f>$G48*Summary_Services!AA45</f>
        <v>0</v>
      </c>
      <c r="M48" s="70">
        <f>$G48*Summary_Services!AB45</f>
        <v>0</v>
      </c>
      <c r="N48" s="70">
        <f>$G48*Summary_Services!AC45</f>
        <v>0</v>
      </c>
      <c r="O48" s="267">
        <f>$G48*Summary_Services!AD45</f>
        <v>0</v>
      </c>
      <c r="Q48" s="530">
        <f>$H48*Summary_Services!Y45</f>
        <v>0</v>
      </c>
      <c r="R48" s="70">
        <f>$H48*Summary_Services!Z45</f>
        <v>0</v>
      </c>
      <c r="S48" s="70">
        <f>$H48*Summary_Services!AA45</f>
        <v>0</v>
      </c>
      <c r="T48" s="70">
        <f>$H48*Summary_Services!AB45</f>
        <v>0</v>
      </c>
      <c r="U48" s="70">
        <f>$H48*Summary_Services!AC45</f>
        <v>0</v>
      </c>
      <c r="V48" s="267">
        <f>$H48*Summary_Services!AD45</f>
        <v>0</v>
      </c>
    </row>
    <row r="49" spans="1:22">
      <c r="A49" s="1">
        <v>41</v>
      </c>
      <c r="B49" s="412">
        <f>Summary_Services!B46</f>
        <v>0</v>
      </c>
      <c r="C49" s="412">
        <f>Summary_Services!C46</f>
        <v>0</v>
      </c>
      <c r="D49" s="412">
        <f>Summary_Services!F46</f>
        <v>0</v>
      </c>
      <c r="E49" s="526"/>
      <c r="F49" s="526"/>
      <c r="G49" s="531">
        <f>IF(F49="Minutes",E49,IF(F49="Hours",E49*60,IF(F49="Days",E49*60*8,0)))</f>
        <v>0</v>
      </c>
      <c r="H49" s="527"/>
      <c r="J49" s="530">
        <f>$G49*Summary_Services!Y46</f>
        <v>0</v>
      </c>
      <c r="K49" s="70">
        <f>$G49*Summary_Services!Z46</f>
        <v>0</v>
      </c>
      <c r="L49" s="70">
        <f>$G49*Summary_Services!AA46</f>
        <v>0</v>
      </c>
      <c r="M49" s="70">
        <f>$G49*Summary_Services!AB46</f>
        <v>0</v>
      </c>
      <c r="N49" s="70">
        <f>$G49*Summary_Services!AC46</f>
        <v>0</v>
      </c>
      <c r="O49" s="267">
        <f>$G49*Summary_Services!AD46</f>
        <v>0</v>
      </c>
      <c r="Q49" s="530">
        <f>$H49*Summary_Services!Y46</f>
        <v>0</v>
      </c>
      <c r="R49" s="70">
        <f>$H49*Summary_Services!Z46</f>
        <v>0</v>
      </c>
      <c r="S49" s="70">
        <f>$H49*Summary_Services!AA46</f>
        <v>0</v>
      </c>
      <c r="T49" s="70">
        <f>$H49*Summary_Services!AB46</f>
        <v>0</v>
      </c>
      <c r="U49" s="70">
        <f>$H49*Summary_Services!AC46</f>
        <v>0</v>
      </c>
      <c r="V49" s="267">
        <f>$H49*Summary_Services!AD46</f>
        <v>0</v>
      </c>
    </row>
    <row r="50" spans="1:22">
      <c r="A50" s="1">
        <v>42</v>
      </c>
      <c r="B50" s="412">
        <f>Summary_Services!B47</f>
        <v>0</v>
      </c>
      <c r="C50" s="412">
        <f>Summary_Services!C47</f>
        <v>0</v>
      </c>
      <c r="D50" s="412">
        <f>Summary_Services!F47</f>
        <v>0</v>
      </c>
      <c r="E50" s="526"/>
      <c r="F50" s="526"/>
      <c r="G50" s="531">
        <f t="shared" si="2"/>
        <v>0</v>
      </c>
      <c r="H50" s="527"/>
      <c r="J50" s="530">
        <f>$G50*Summary_Services!Y47</f>
        <v>0</v>
      </c>
      <c r="K50" s="70">
        <f>$G50*Summary_Services!Z47</f>
        <v>0</v>
      </c>
      <c r="L50" s="70">
        <f>$G50*Summary_Services!AA47</f>
        <v>0</v>
      </c>
      <c r="M50" s="70">
        <f>$G50*Summary_Services!AB47</f>
        <v>0</v>
      </c>
      <c r="N50" s="70">
        <f>$G50*Summary_Services!AC47</f>
        <v>0</v>
      </c>
      <c r="O50" s="267">
        <f>$G50*Summary_Services!AD47</f>
        <v>0</v>
      </c>
      <c r="Q50" s="530">
        <f>$H50*Summary_Services!Y47</f>
        <v>0</v>
      </c>
      <c r="R50" s="70">
        <f>$H50*Summary_Services!Z47</f>
        <v>0</v>
      </c>
      <c r="S50" s="70">
        <f>$H50*Summary_Services!AA47</f>
        <v>0</v>
      </c>
      <c r="T50" s="70">
        <f>$H50*Summary_Services!AB47</f>
        <v>0</v>
      </c>
      <c r="U50" s="70">
        <f>$H50*Summary_Services!AC47</f>
        <v>0</v>
      </c>
      <c r="V50" s="267">
        <f>$H50*Summary_Services!AD47</f>
        <v>0</v>
      </c>
    </row>
    <row r="51" spans="1:22">
      <c r="A51" s="1">
        <v>43</v>
      </c>
      <c r="B51" s="412">
        <f>Summary_Services!B48</f>
        <v>0</v>
      </c>
      <c r="C51" s="412">
        <f>Summary_Services!C48</f>
        <v>0</v>
      </c>
      <c r="D51" s="412">
        <f>Summary_Services!F48</f>
        <v>0</v>
      </c>
      <c r="E51" s="526"/>
      <c r="F51" s="526"/>
      <c r="G51" s="531">
        <f t="shared" si="2"/>
        <v>0</v>
      </c>
      <c r="H51" s="527"/>
      <c r="J51" s="530">
        <f>$G51*Summary_Services!Y48</f>
        <v>0</v>
      </c>
      <c r="K51" s="70">
        <f>$G51*Summary_Services!Z48</f>
        <v>0</v>
      </c>
      <c r="L51" s="70">
        <f>$G51*Summary_Services!AA48</f>
        <v>0</v>
      </c>
      <c r="M51" s="70">
        <f>$G51*Summary_Services!AB48</f>
        <v>0</v>
      </c>
      <c r="N51" s="70">
        <f>$G51*Summary_Services!AC48</f>
        <v>0</v>
      </c>
      <c r="O51" s="267">
        <f>$G51*Summary_Services!AD48</f>
        <v>0</v>
      </c>
      <c r="Q51" s="530">
        <f>$H51*Summary_Services!Y48</f>
        <v>0</v>
      </c>
      <c r="R51" s="70">
        <f>$H51*Summary_Services!Z48</f>
        <v>0</v>
      </c>
      <c r="S51" s="70">
        <f>$H51*Summary_Services!AA48</f>
        <v>0</v>
      </c>
      <c r="T51" s="70">
        <f>$H51*Summary_Services!AB48</f>
        <v>0</v>
      </c>
      <c r="U51" s="70">
        <f>$H51*Summary_Services!AC48</f>
        <v>0</v>
      </c>
      <c r="V51" s="267">
        <f>$H51*Summary_Services!AD48</f>
        <v>0</v>
      </c>
    </row>
    <row r="52" spans="1:22">
      <c r="A52" s="1">
        <v>44</v>
      </c>
      <c r="B52" s="412">
        <f>Summary_Services!B49</f>
        <v>0</v>
      </c>
      <c r="C52" s="412">
        <f>Summary_Services!C49</f>
        <v>0</v>
      </c>
      <c r="D52" s="412">
        <f>Summary_Services!F49</f>
        <v>0</v>
      </c>
      <c r="E52" s="526"/>
      <c r="F52" s="526"/>
      <c r="G52" s="531">
        <f t="shared" si="2"/>
        <v>0</v>
      </c>
      <c r="H52" s="527"/>
      <c r="J52" s="530">
        <f>$G52*Summary_Services!Y49</f>
        <v>0</v>
      </c>
      <c r="K52" s="70">
        <f>$G52*Summary_Services!Z49</f>
        <v>0</v>
      </c>
      <c r="L52" s="70">
        <f>$G52*Summary_Services!AA49</f>
        <v>0</v>
      </c>
      <c r="M52" s="70">
        <f>$G52*Summary_Services!AB49</f>
        <v>0</v>
      </c>
      <c r="N52" s="70">
        <f>$G52*Summary_Services!AC49</f>
        <v>0</v>
      </c>
      <c r="O52" s="267">
        <f>$G52*Summary_Services!AD49</f>
        <v>0</v>
      </c>
      <c r="Q52" s="530">
        <f>$H52*Summary_Services!Y49</f>
        <v>0</v>
      </c>
      <c r="R52" s="70">
        <f>$H52*Summary_Services!Z49</f>
        <v>0</v>
      </c>
      <c r="S52" s="70">
        <f>$H52*Summary_Services!AA49</f>
        <v>0</v>
      </c>
      <c r="T52" s="70">
        <f>$H52*Summary_Services!AB49</f>
        <v>0</v>
      </c>
      <c r="U52" s="70">
        <f>$H52*Summary_Services!AC49</f>
        <v>0</v>
      </c>
      <c r="V52" s="267">
        <f>$H52*Summary_Services!AD49</f>
        <v>0</v>
      </c>
    </row>
    <row r="53" spans="1:22">
      <c r="A53" s="1">
        <v>45</v>
      </c>
      <c r="B53" s="412">
        <f>Summary_Services!B50</f>
        <v>0</v>
      </c>
      <c r="C53" s="412">
        <f>Summary_Services!C50</f>
        <v>0</v>
      </c>
      <c r="D53" s="412">
        <f>Summary_Services!F50</f>
        <v>0</v>
      </c>
      <c r="E53" s="526"/>
      <c r="F53" s="526"/>
      <c r="G53" s="531">
        <f t="shared" si="2"/>
        <v>0</v>
      </c>
      <c r="H53" s="527"/>
      <c r="J53" s="530">
        <f>$G53*Summary_Services!Y50</f>
        <v>0</v>
      </c>
      <c r="K53" s="70">
        <f>$G53*Summary_Services!Z50</f>
        <v>0</v>
      </c>
      <c r="L53" s="70">
        <f>$G53*Summary_Services!AA50</f>
        <v>0</v>
      </c>
      <c r="M53" s="70">
        <f>$G53*Summary_Services!AB50</f>
        <v>0</v>
      </c>
      <c r="N53" s="70">
        <f>$G53*Summary_Services!AC50</f>
        <v>0</v>
      </c>
      <c r="O53" s="267">
        <f>$G53*Summary_Services!AD50</f>
        <v>0</v>
      </c>
      <c r="Q53" s="530">
        <f>$H53*Summary_Services!Y50</f>
        <v>0</v>
      </c>
      <c r="R53" s="70">
        <f>$H53*Summary_Services!Z50</f>
        <v>0</v>
      </c>
      <c r="S53" s="70">
        <f>$H53*Summary_Services!AA50</f>
        <v>0</v>
      </c>
      <c r="T53" s="70">
        <f>$H53*Summary_Services!AB50</f>
        <v>0</v>
      </c>
      <c r="U53" s="70">
        <f>$H53*Summary_Services!AC50</f>
        <v>0</v>
      </c>
      <c r="V53" s="267">
        <f>$H53*Summary_Services!AD50</f>
        <v>0</v>
      </c>
    </row>
    <row r="54" spans="1:22">
      <c r="A54" s="1">
        <v>46</v>
      </c>
      <c r="B54" s="412">
        <f>Summary_Services!B51</f>
        <v>0</v>
      </c>
      <c r="C54" s="412">
        <f>Summary_Services!C51</f>
        <v>0</v>
      </c>
      <c r="D54" s="412">
        <f>Summary_Services!F51</f>
        <v>0</v>
      </c>
      <c r="E54" s="526"/>
      <c r="F54" s="526"/>
      <c r="G54" s="531">
        <f t="shared" si="2"/>
        <v>0</v>
      </c>
      <c r="H54" s="527"/>
      <c r="J54" s="530">
        <f>$G54*Summary_Services!Y51</f>
        <v>0</v>
      </c>
      <c r="K54" s="70">
        <f>$G54*Summary_Services!Z51</f>
        <v>0</v>
      </c>
      <c r="L54" s="70">
        <f>$G54*Summary_Services!AA51</f>
        <v>0</v>
      </c>
      <c r="M54" s="70">
        <f>$G54*Summary_Services!AB51</f>
        <v>0</v>
      </c>
      <c r="N54" s="70">
        <f>$G54*Summary_Services!AC51</f>
        <v>0</v>
      </c>
      <c r="O54" s="267">
        <f>$G54*Summary_Services!AD51</f>
        <v>0</v>
      </c>
      <c r="Q54" s="530">
        <f>$H54*Summary_Services!Y51</f>
        <v>0</v>
      </c>
      <c r="R54" s="70">
        <f>$H54*Summary_Services!Z51</f>
        <v>0</v>
      </c>
      <c r="S54" s="70">
        <f>$H54*Summary_Services!AA51</f>
        <v>0</v>
      </c>
      <c r="T54" s="70">
        <f>$H54*Summary_Services!AB51</f>
        <v>0</v>
      </c>
      <c r="U54" s="70">
        <f>$H54*Summary_Services!AC51</f>
        <v>0</v>
      </c>
      <c r="V54" s="267">
        <f>$H54*Summary_Services!AD51</f>
        <v>0</v>
      </c>
    </row>
    <row r="55" spans="1:22">
      <c r="A55" s="1">
        <v>47</v>
      </c>
      <c r="B55" s="412">
        <f>Summary_Services!B52</f>
        <v>0</v>
      </c>
      <c r="C55" s="412">
        <f>Summary_Services!C52</f>
        <v>0</v>
      </c>
      <c r="D55" s="412">
        <f>Summary_Services!F52</f>
        <v>0</v>
      </c>
      <c r="E55" s="526"/>
      <c r="F55" s="526"/>
      <c r="G55" s="531">
        <f t="shared" si="2"/>
        <v>0</v>
      </c>
      <c r="H55" s="527"/>
      <c r="J55" s="530">
        <f>$G55*Summary_Services!Y52</f>
        <v>0</v>
      </c>
      <c r="K55" s="70">
        <f>$G55*Summary_Services!Z52</f>
        <v>0</v>
      </c>
      <c r="L55" s="70">
        <f>$G55*Summary_Services!AA52</f>
        <v>0</v>
      </c>
      <c r="M55" s="70">
        <f>$G55*Summary_Services!AB52</f>
        <v>0</v>
      </c>
      <c r="N55" s="70">
        <f>$G55*Summary_Services!AC52</f>
        <v>0</v>
      </c>
      <c r="O55" s="267">
        <f>$G55*Summary_Services!AD52</f>
        <v>0</v>
      </c>
      <c r="Q55" s="530">
        <f>$H55*Summary_Services!Y52</f>
        <v>0</v>
      </c>
      <c r="R55" s="70">
        <f>$H55*Summary_Services!Z52</f>
        <v>0</v>
      </c>
      <c r="S55" s="70">
        <f>$H55*Summary_Services!AA52</f>
        <v>0</v>
      </c>
      <c r="T55" s="70">
        <f>$H55*Summary_Services!AB52</f>
        <v>0</v>
      </c>
      <c r="U55" s="70">
        <f>$H55*Summary_Services!AC52</f>
        <v>0</v>
      </c>
      <c r="V55" s="267">
        <f>$H55*Summary_Services!AD52</f>
        <v>0</v>
      </c>
    </row>
    <row r="56" spans="1:22">
      <c r="A56" s="1">
        <v>48</v>
      </c>
      <c r="B56" s="412">
        <f>Summary_Services!B53</f>
        <v>0</v>
      </c>
      <c r="C56" s="412">
        <f>Summary_Services!C53</f>
        <v>0</v>
      </c>
      <c r="D56" s="412">
        <f>Summary_Services!F53</f>
        <v>0</v>
      </c>
      <c r="E56" s="526"/>
      <c r="F56" s="526"/>
      <c r="G56" s="531">
        <f t="shared" si="2"/>
        <v>0</v>
      </c>
      <c r="H56" s="527"/>
      <c r="J56" s="530">
        <f>$G56*Summary_Services!Y53</f>
        <v>0</v>
      </c>
      <c r="K56" s="70">
        <f>$G56*Summary_Services!Z53</f>
        <v>0</v>
      </c>
      <c r="L56" s="70">
        <f>$G56*Summary_Services!AA53</f>
        <v>0</v>
      </c>
      <c r="M56" s="70">
        <f>$G56*Summary_Services!AB53</f>
        <v>0</v>
      </c>
      <c r="N56" s="70">
        <f>$G56*Summary_Services!AC53</f>
        <v>0</v>
      </c>
      <c r="O56" s="267">
        <f>$G56*Summary_Services!AD53</f>
        <v>0</v>
      </c>
      <c r="Q56" s="530">
        <f>$H56*Summary_Services!Y53</f>
        <v>0</v>
      </c>
      <c r="R56" s="70">
        <f>$H56*Summary_Services!Z53</f>
        <v>0</v>
      </c>
      <c r="S56" s="70">
        <f>$H56*Summary_Services!AA53</f>
        <v>0</v>
      </c>
      <c r="T56" s="70">
        <f>$H56*Summary_Services!AB53</f>
        <v>0</v>
      </c>
      <c r="U56" s="70">
        <f>$H56*Summary_Services!AC53</f>
        <v>0</v>
      </c>
      <c r="V56" s="267">
        <f>$H56*Summary_Services!AD53</f>
        <v>0</v>
      </c>
    </row>
    <row r="57" spans="1:22">
      <c r="A57" s="1">
        <v>49</v>
      </c>
      <c r="B57" s="412">
        <f>Summary_Services!B54</f>
        <v>0</v>
      </c>
      <c r="C57" s="412">
        <f>Summary_Services!C54</f>
        <v>0</v>
      </c>
      <c r="D57" s="412">
        <f>Summary_Services!F54</f>
        <v>0</v>
      </c>
      <c r="E57" s="526"/>
      <c r="F57" s="526"/>
      <c r="G57" s="531">
        <f t="shared" si="2"/>
        <v>0</v>
      </c>
      <c r="H57" s="527"/>
      <c r="J57" s="530">
        <f>$G57*Summary_Services!Y54</f>
        <v>0</v>
      </c>
      <c r="K57" s="70">
        <f>$G57*Summary_Services!Z54</f>
        <v>0</v>
      </c>
      <c r="L57" s="70">
        <f>$G57*Summary_Services!AA54</f>
        <v>0</v>
      </c>
      <c r="M57" s="70">
        <f>$G57*Summary_Services!AB54</f>
        <v>0</v>
      </c>
      <c r="N57" s="70">
        <f>$G57*Summary_Services!AC54</f>
        <v>0</v>
      </c>
      <c r="O57" s="267">
        <f>$G57*Summary_Services!AD54</f>
        <v>0</v>
      </c>
      <c r="Q57" s="530">
        <f>$H57*Summary_Services!Y54</f>
        <v>0</v>
      </c>
      <c r="R57" s="70">
        <f>$H57*Summary_Services!Z54</f>
        <v>0</v>
      </c>
      <c r="S57" s="70">
        <f>$H57*Summary_Services!AA54</f>
        <v>0</v>
      </c>
      <c r="T57" s="70">
        <f>$H57*Summary_Services!AB54</f>
        <v>0</v>
      </c>
      <c r="U57" s="70">
        <f>$H57*Summary_Services!AC54</f>
        <v>0</v>
      </c>
      <c r="V57" s="267">
        <f>$H57*Summary_Services!AD54</f>
        <v>0</v>
      </c>
    </row>
    <row r="58" spans="1:22">
      <c r="A58" s="1">
        <v>50</v>
      </c>
      <c r="B58" s="412">
        <f>Summary_Services!B55</f>
        <v>0</v>
      </c>
      <c r="C58" s="412">
        <f>Summary_Services!C55</f>
        <v>0</v>
      </c>
      <c r="D58" s="412">
        <f>Summary_Services!F55</f>
        <v>0</v>
      </c>
      <c r="E58" s="526"/>
      <c r="F58" s="526"/>
      <c r="G58" s="531">
        <f t="shared" si="2"/>
        <v>0</v>
      </c>
      <c r="H58" s="527"/>
      <c r="J58" s="530">
        <f>$G58*Summary_Services!Y55</f>
        <v>0</v>
      </c>
      <c r="K58" s="70">
        <f>$G58*Summary_Services!Z55</f>
        <v>0</v>
      </c>
      <c r="L58" s="70">
        <f>$G58*Summary_Services!AA55</f>
        <v>0</v>
      </c>
      <c r="M58" s="70">
        <f>$G58*Summary_Services!AB55</f>
        <v>0</v>
      </c>
      <c r="N58" s="70">
        <f>$G58*Summary_Services!AC55</f>
        <v>0</v>
      </c>
      <c r="O58" s="267">
        <f>$G58*Summary_Services!AD55</f>
        <v>0</v>
      </c>
      <c r="Q58" s="530">
        <f>$H58*Summary_Services!Y55</f>
        <v>0</v>
      </c>
      <c r="R58" s="70">
        <f>$H58*Summary_Services!Z55</f>
        <v>0</v>
      </c>
      <c r="S58" s="70">
        <f>$H58*Summary_Services!AA55</f>
        <v>0</v>
      </c>
      <c r="T58" s="70">
        <f>$H58*Summary_Services!AB55</f>
        <v>0</v>
      </c>
      <c r="U58" s="70">
        <f>$H58*Summary_Services!AC55</f>
        <v>0</v>
      </c>
      <c r="V58" s="267">
        <f>$H58*Summary_Services!AD55</f>
        <v>0</v>
      </c>
    </row>
    <row r="59" spans="1:22">
      <c r="A59" s="1">
        <v>51</v>
      </c>
      <c r="B59" s="412">
        <f>Summary_Services!B56</f>
        <v>0</v>
      </c>
      <c r="C59" s="412">
        <f>Summary_Services!C56</f>
        <v>0</v>
      </c>
      <c r="D59" s="412">
        <f>Summary_Services!F56</f>
        <v>0</v>
      </c>
      <c r="E59" s="526"/>
      <c r="F59" s="526"/>
      <c r="G59" s="531">
        <f t="shared" si="2"/>
        <v>0</v>
      </c>
      <c r="H59" s="527"/>
      <c r="J59" s="530">
        <f>$G59*Summary_Services!Y56</f>
        <v>0</v>
      </c>
      <c r="K59" s="70">
        <f>$G59*Summary_Services!Z56</f>
        <v>0</v>
      </c>
      <c r="L59" s="70">
        <f>$G59*Summary_Services!AA56</f>
        <v>0</v>
      </c>
      <c r="M59" s="70">
        <f>$G59*Summary_Services!AB56</f>
        <v>0</v>
      </c>
      <c r="N59" s="70">
        <f>$G59*Summary_Services!AC56</f>
        <v>0</v>
      </c>
      <c r="O59" s="267">
        <f>$G59*Summary_Services!AD56</f>
        <v>0</v>
      </c>
      <c r="Q59" s="530">
        <f>$H59*Summary_Services!Y56</f>
        <v>0</v>
      </c>
      <c r="R59" s="70">
        <f>$H59*Summary_Services!Z56</f>
        <v>0</v>
      </c>
      <c r="S59" s="70">
        <f>$H59*Summary_Services!AA56</f>
        <v>0</v>
      </c>
      <c r="T59" s="70">
        <f>$H59*Summary_Services!AB56</f>
        <v>0</v>
      </c>
      <c r="U59" s="70">
        <f>$H59*Summary_Services!AC56</f>
        <v>0</v>
      </c>
      <c r="V59" s="267">
        <f>$H59*Summary_Services!AD56</f>
        <v>0</v>
      </c>
    </row>
    <row r="60" spans="1:22">
      <c r="A60" s="1">
        <v>52</v>
      </c>
      <c r="B60" s="412">
        <f>Summary_Services!B57</f>
        <v>0</v>
      </c>
      <c r="C60" s="412">
        <f>Summary_Services!C57</f>
        <v>0</v>
      </c>
      <c r="D60" s="412">
        <f>Summary_Services!F57</f>
        <v>0</v>
      </c>
      <c r="E60" s="526"/>
      <c r="F60" s="526"/>
      <c r="G60" s="531">
        <f t="shared" si="2"/>
        <v>0</v>
      </c>
      <c r="H60" s="527"/>
      <c r="J60" s="530">
        <f>$G60*Summary_Services!Y57</f>
        <v>0</v>
      </c>
      <c r="K60" s="70">
        <f>$G60*Summary_Services!Z57</f>
        <v>0</v>
      </c>
      <c r="L60" s="70">
        <f>$G60*Summary_Services!AA57</f>
        <v>0</v>
      </c>
      <c r="M60" s="70">
        <f>$G60*Summary_Services!AB57</f>
        <v>0</v>
      </c>
      <c r="N60" s="70">
        <f>$G60*Summary_Services!AC57</f>
        <v>0</v>
      </c>
      <c r="O60" s="267">
        <f>$G60*Summary_Services!AD57</f>
        <v>0</v>
      </c>
      <c r="Q60" s="530">
        <f>$H60*Summary_Services!Y57</f>
        <v>0</v>
      </c>
      <c r="R60" s="70">
        <f>$H60*Summary_Services!Z57</f>
        <v>0</v>
      </c>
      <c r="S60" s="70">
        <f>$H60*Summary_Services!AA57</f>
        <v>0</v>
      </c>
      <c r="T60" s="70">
        <f>$H60*Summary_Services!AB57</f>
        <v>0</v>
      </c>
      <c r="U60" s="70">
        <f>$H60*Summary_Services!AC57</f>
        <v>0</v>
      </c>
      <c r="V60" s="267">
        <f>$H60*Summary_Services!AD57</f>
        <v>0</v>
      </c>
    </row>
    <row r="61" spans="1:22">
      <c r="A61" s="1">
        <v>53</v>
      </c>
      <c r="B61" s="412">
        <f>Summary_Services!B58</f>
        <v>0</v>
      </c>
      <c r="C61" s="412">
        <f>Summary_Services!C58</f>
        <v>0</v>
      </c>
      <c r="D61" s="412">
        <f>Summary_Services!F58</f>
        <v>0</v>
      </c>
      <c r="E61" s="526"/>
      <c r="F61" s="526"/>
      <c r="G61" s="531">
        <f t="shared" si="2"/>
        <v>0</v>
      </c>
      <c r="H61" s="527"/>
      <c r="J61" s="530">
        <f>$G61*Summary_Services!Y58</f>
        <v>0</v>
      </c>
      <c r="K61" s="70">
        <f>$G61*Summary_Services!Z58</f>
        <v>0</v>
      </c>
      <c r="L61" s="70">
        <f>$G61*Summary_Services!AA58</f>
        <v>0</v>
      </c>
      <c r="M61" s="70">
        <f>$G61*Summary_Services!AB58</f>
        <v>0</v>
      </c>
      <c r="N61" s="70">
        <f>$G61*Summary_Services!AC58</f>
        <v>0</v>
      </c>
      <c r="O61" s="267">
        <f>$G61*Summary_Services!AD58</f>
        <v>0</v>
      </c>
      <c r="Q61" s="530">
        <f>$H61*Summary_Services!Y58</f>
        <v>0</v>
      </c>
      <c r="R61" s="70">
        <f>$H61*Summary_Services!Z58</f>
        <v>0</v>
      </c>
      <c r="S61" s="70">
        <f>$H61*Summary_Services!AA58</f>
        <v>0</v>
      </c>
      <c r="T61" s="70">
        <f>$H61*Summary_Services!AB58</f>
        <v>0</v>
      </c>
      <c r="U61" s="70">
        <f>$H61*Summary_Services!AC58</f>
        <v>0</v>
      </c>
      <c r="V61" s="267">
        <f>$H61*Summary_Services!AD58</f>
        <v>0</v>
      </c>
    </row>
    <row r="62" spans="1:22">
      <c r="A62" s="1">
        <v>54</v>
      </c>
      <c r="B62" s="412">
        <f>Summary_Services!B59</f>
        <v>0</v>
      </c>
      <c r="C62" s="412">
        <f>Summary_Services!C59</f>
        <v>0</v>
      </c>
      <c r="D62" s="412">
        <f>Summary_Services!F59</f>
        <v>0</v>
      </c>
      <c r="E62" s="526"/>
      <c r="F62" s="526"/>
      <c r="G62" s="531">
        <f t="shared" si="2"/>
        <v>0</v>
      </c>
      <c r="H62" s="527"/>
      <c r="J62" s="530">
        <f>$G62*Summary_Services!Y59</f>
        <v>0</v>
      </c>
      <c r="K62" s="70">
        <f>$G62*Summary_Services!Z59</f>
        <v>0</v>
      </c>
      <c r="L62" s="70">
        <f>$G62*Summary_Services!AA59</f>
        <v>0</v>
      </c>
      <c r="M62" s="70">
        <f>$G62*Summary_Services!AB59</f>
        <v>0</v>
      </c>
      <c r="N62" s="70">
        <f>$G62*Summary_Services!AC59</f>
        <v>0</v>
      </c>
      <c r="O62" s="267">
        <f>$G62*Summary_Services!AD59</f>
        <v>0</v>
      </c>
      <c r="Q62" s="530">
        <f>$H62*Summary_Services!Y59</f>
        <v>0</v>
      </c>
      <c r="R62" s="70">
        <f>$H62*Summary_Services!Z59</f>
        <v>0</v>
      </c>
      <c r="S62" s="70">
        <f>$H62*Summary_Services!AA59</f>
        <v>0</v>
      </c>
      <c r="T62" s="70">
        <f>$H62*Summary_Services!AB59</f>
        <v>0</v>
      </c>
      <c r="U62" s="70">
        <f>$H62*Summary_Services!AC59</f>
        <v>0</v>
      </c>
      <c r="V62" s="267">
        <f>$H62*Summary_Services!AD59</f>
        <v>0</v>
      </c>
    </row>
    <row r="63" spans="1:22">
      <c r="A63" s="1">
        <v>55</v>
      </c>
      <c r="B63" s="412">
        <f>Summary_Services!B60</f>
        <v>0</v>
      </c>
      <c r="C63" s="412">
        <f>Summary_Services!C60</f>
        <v>0</v>
      </c>
      <c r="D63" s="412">
        <f>Summary_Services!F60</f>
        <v>0</v>
      </c>
      <c r="E63" s="526"/>
      <c r="F63" s="526"/>
      <c r="G63" s="531">
        <f t="shared" si="2"/>
        <v>0</v>
      </c>
      <c r="H63" s="527"/>
      <c r="J63" s="530">
        <f>$G63*Summary_Services!Y60</f>
        <v>0</v>
      </c>
      <c r="K63" s="70">
        <f>$G63*Summary_Services!Z60</f>
        <v>0</v>
      </c>
      <c r="L63" s="70">
        <f>$G63*Summary_Services!AA60</f>
        <v>0</v>
      </c>
      <c r="M63" s="70">
        <f>$G63*Summary_Services!AB60</f>
        <v>0</v>
      </c>
      <c r="N63" s="70">
        <f>$G63*Summary_Services!AC60</f>
        <v>0</v>
      </c>
      <c r="O63" s="267">
        <f>$G63*Summary_Services!AD60</f>
        <v>0</v>
      </c>
      <c r="Q63" s="530">
        <f>$H63*Summary_Services!Y60</f>
        <v>0</v>
      </c>
      <c r="R63" s="70">
        <f>$H63*Summary_Services!Z60</f>
        <v>0</v>
      </c>
      <c r="S63" s="70">
        <f>$H63*Summary_Services!AA60</f>
        <v>0</v>
      </c>
      <c r="T63" s="70">
        <f>$H63*Summary_Services!AB60</f>
        <v>0</v>
      </c>
      <c r="U63" s="70">
        <f>$H63*Summary_Services!AC60</f>
        <v>0</v>
      </c>
      <c r="V63" s="267">
        <f>$H63*Summary_Services!AD60</f>
        <v>0</v>
      </c>
    </row>
    <row r="64" spans="1:22">
      <c r="A64" s="1">
        <v>56</v>
      </c>
      <c r="B64" s="412">
        <f>Summary_Services!B61</f>
        <v>0</v>
      </c>
      <c r="C64" s="412">
        <f>Summary_Services!C61</f>
        <v>0</v>
      </c>
      <c r="D64" s="412">
        <f>Summary_Services!F61</f>
        <v>0</v>
      </c>
      <c r="E64" s="526"/>
      <c r="F64" s="526"/>
      <c r="G64" s="531">
        <f t="shared" si="2"/>
        <v>0</v>
      </c>
      <c r="H64" s="527"/>
      <c r="J64" s="530">
        <f>$G64*Summary_Services!Y61</f>
        <v>0</v>
      </c>
      <c r="K64" s="70">
        <f>$G64*Summary_Services!Z61</f>
        <v>0</v>
      </c>
      <c r="L64" s="70">
        <f>$G64*Summary_Services!AA61</f>
        <v>0</v>
      </c>
      <c r="M64" s="70">
        <f>$G64*Summary_Services!AB61</f>
        <v>0</v>
      </c>
      <c r="N64" s="70">
        <f>$G64*Summary_Services!AC61</f>
        <v>0</v>
      </c>
      <c r="O64" s="267">
        <f>$G64*Summary_Services!AD61</f>
        <v>0</v>
      </c>
      <c r="Q64" s="530">
        <f>$H64*Summary_Services!Y61</f>
        <v>0</v>
      </c>
      <c r="R64" s="70">
        <f>$H64*Summary_Services!Z61</f>
        <v>0</v>
      </c>
      <c r="S64" s="70">
        <f>$H64*Summary_Services!AA61</f>
        <v>0</v>
      </c>
      <c r="T64" s="70">
        <f>$H64*Summary_Services!AB61</f>
        <v>0</v>
      </c>
      <c r="U64" s="70">
        <f>$H64*Summary_Services!AC61</f>
        <v>0</v>
      </c>
      <c r="V64" s="267">
        <f>$H64*Summary_Services!AD61</f>
        <v>0</v>
      </c>
    </row>
    <row r="65" spans="1:22">
      <c r="A65" s="1">
        <v>57</v>
      </c>
      <c r="B65" s="412">
        <f>Summary_Services!B62</f>
        <v>0</v>
      </c>
      <c r="C65" s="412">
        <f>Summary_Services!C62</f>
        <v>0</v>
      </c>
      <c r="D65" s="412">
        <f>Summary_Services!F62</f>
        <v>0</v>
      </c>
      <c r="E65" s="526"/>
      <c r="F65" s="526"/>
      <c r="G65" s="526">
        <f t="shared" si="2"/>
        <v>0</v>
      </c>
      <c r="H65" s="527"/>
      <c r="J65" s="530">
        <f>$G65*Summary_Services!Y62</f>
        <v>0</v>
      </c>
      <c r="K65" s="70">
        <f>$G65*Summary_Services!Z62</f>
        <v>0</v>
      </c>
      <c r="L65" s="70">
        <f>$G65*Summary_Services!AA62</f>
        <v>0</v>
      </c>
      <c r="M65" s="70">
        <f>$G65*Summary_Services!AB62</f>
        <v>0</v>
      </c>
      <c r="N65" s="70">
        <f>$G65*Summary_Services!AC62</f>
        <v>0</v>
      </c>
      <c r="O65" s="267">
        <f>$G65*Summary_Services!AD62</f>
        <v>0</v>
      </c>
      <c r="Q65" s="530">
        <f>$H65*Summary_Services!Y62</f>
        <v>0</v>
      </c>
      <c r="R65" s="70">
        <f>$H65*Summary_Services!Z62</f>
        <v>0</v>
      </c>
      <c r="S65" s="70">
        <f>$H65*Summary_Services!AA62</f>
        <v>0</v>
      </c>
      <c r="T65" s="70">
        <f>$H65*Summary_Services!AB62</f>
        <v>0</v>
      </c>
      <c r="U65" s="70">
        <f>$H65*Summary_Services!AC62</f>
        <v>0</v>
      </c>
      <c r="V65" s="267">
        <f>$H65*Summary_Services!AD62</f>
        <v>0</v>
      </c>
    </row>
    <row r="66" spans="1:22">
      <c r="A66" s="1">
        <v>58</v>
      </c>
      <c r="B66" s="412">
        <f>Summary_Services!B63</f>
        <v>0</v>
      </c>
      <c r="C66" s="412">
        <f>Summary_Services!C63</f>
        <v>0</v>
      </c>
      <c r="D66" s="412">
        <f>Summary_Services!F63</f>
        <v>0</v>
      </c>
      <c r="E66" s="526"/>
      <c r="F66" s="526"/>
      <c r="G66" s="526">
        <f t="shared" si="2"/>
        <v>0</v>
      </c>
      <c r="H66" s="527"/>
      <c r="J66" s="530">
        <f>$G66*Summary_Services!Y63</f>
        <v>0</v>
      </c>
      <c r="K66" s="70">
        <f>$G66*Summary_Services!Z63</f>
        <v>0</v>
      </c>
      <c r="L66" s="70">
        <f>$G66*Summary_Services!AA63</f>
        <v>0</v>
      </c>
      <c r="M66" s="70">
        <f>$G66*Summary_Services!AB63</f>
        <v>0</v>
      </c>
      <c r="N66" s="70">
        <f>$G66*Summary_Services!AC63</f>
        <v>0</v>
      </c>
      <c r="O66" s="267">
        <f>$G66*Summary_Services!AD63</f>
        <v>0</v>
      </c>
      <c r="Q66" s="530">
        <f>$H66*Summary_Services!Y63</f>
        <v>0</v>
      </c>
      <c r="R66" s="70">
        <f>$H66*Summary_Services!Z63</f>
        <v>0</v>
      </c>
      <c r="S66" s="70">
        <f>$H66*Summary_Services!AA63</f>
        <v>0</v>
      </c>
      <c r="T66" s="70">
        <f>$H66*Summary_Services!AB63</f>
        <v>0</v>
      </c>
      <c r="U66" s="70">
        <f>$H66*Summary_Services!AC63</f>
        <v>0</v>
      </c>
      <c r="V66" s="267">
        <f>$H66*Summary_Services!AD63</f>
        <v>0</v>
      </c>
    </row>
    <row r="67" spans="1:22">
      <c r="A67" s="1">
        <v>59</v>
      </c>
      <c r="B67" s="412">
        <f>Summary_Services!B64</f>
        <v>0</v>
      </c>
      <c r="C67" s="412">
        <f>Summary_Services!C64</f>
        <v>0</v>
      </c>
      <c r="D67" s="412">
        <f>Summary_Services!F64</f>
        <v>0</v>
      </c>
      <c r="E67" s="526"/>
      <c r="F67" s="526"/>
      <c r="G67" s="526">
        <f t="shared" si="2"/>
        <v>0</v>
      </c>
      <c r="H67" s="527"/>
      <c r="J67" s="530">
        <f>$G67*Summary_Services!Y64</f>
        <v>0</v>
      </c>
      <c r="K67" s="70">
        <f>$G67*Summary_Services!Z64</f>
        <v>0</v>
      </c>
      <c r="L67" s="70">
        <f>$G67*Summary_Services!AA64</f>
        <v>0</v>
      </c>
      <c r="M67" s="70">
        <f>$G67*Summary_Services!AB64</f>
        <v>0</v>
      </c>
      <c r="N67" s="70">
        <f>$G67*Summary_Services!AC64</f>
        <v>0</v>
      </c>
      <c r="O67" s="267">
        <f>$G67*Summary_Services!AD64</f>
        <v>0</v>
      </c>
      <c r="Q67" s="530">
        <f>$H67*Summary_Services!Y64</f>
        <v>0</v>
      </c>
      <c r="R67" s="70">
        <f>$H67*Summary_Services!Z64</f>
        <v>0</v>
      </c>
      <c r="S67" s="70">
        <f>$H67*Summary_Services!AA64</f>
        <v>0</v>
      </c>
      <c r="T67" s="70">
        <f>$H67*Summary_Services!AB64</f>
        <v>0</v>
      </c>
      <c r="U67" s="70">
        <f>$H67*Summary_Services!AC64</f>
        <v>0</v>
      </c>
      <c r="V67" s="267">
        <f>$H67*Summary_Services!AD64</f>
        <v>0</v>
      </c>
    </row>
    <row r="68" spans="1:22">
      <c r="A68" s="1">
        <v>60</v>
      </c>
      <c r="B68" s="412">
        <f>Summary_Services!B65</f>
        <v>0</v>
      </c>
      <c r="C68" s="412">
        <f>Summary_Services!C65</f>
        <v>0</v>
      </c>
      <c r="D68" s="412">
        <f>Summary_Services!F65</f>
        <v>0</v>
      </c>
      <c r="E68" s="526"/>
      <c r="F68" s="526"/>
      <c r="G68" s="526">
        <f t="shared" si="2"/>
        <v>0</v>
      </c>
      <c r="H68" s="527"/>
      <c r="J68" s="530">
        <f>$G68*Summary_Services!Y65</f>
        <v>0</v>
      </c>
      <c r="K68" s="70">
        <f>$G68*Summary_Services!Z65</f>
        <v>0</v>
      </c>
      <c r="L68" s="70">
        <f>$G68*Summary_Services!AA65</f>
        <v>0</v>
      </c>
      <c r="M68" s="70">
        <f>$G68*Summary_Services!AB65</f>
        <v>0</v>
      </c>
      <c r="N68" s="70">
        <f>$G68*Summary_Services!AC65</f>
        <v>0</v>
      </c>
      <c r="O68" s="267">
        <f>$G68*Summary_Services!AD65</f>
        <v>0</v>
      </c>
      <c r="Q68" s="530">
        <f>$H68*Summary_Services!Y65</f>
        <v>0</v>
      </c>
      <c r="R68" s="70">
        <f>$H68*Summary_Services!Z65</f>
        <v>0</v>
      </c>
      <c r="S68" s="70">
        <f>$H68*Summary_Services!AA65</f>
        <v>0</v>
      </c>
      <c r="T68" s="70">
        <f>$H68*Summary_Services!AB65</f>
        <v>0</v>
      </c>
      <c r="U68" s="70">
        <f>$H68*Summary_Services!AC65</f>
        <v>0</v>
      </c>
      <c r="V68" s="267">
        <f>$H68*Summary_Services!AD65</f>
        <v>0</v>
      </c>
    </row>
    <row r="69" spans="1:22">
      <c r="A69" s="1">
        <v>61</v>
      </c>
      <c r="B69" s="412">
        <f>Summary_Services!B66</f>
        <v>0</v>
      </c>
      <c r="C69" s="412">
        <f>Summary_Services!C66</f>
        <v>0</v>
      </c>
      <c r="D69" s="412">
        <f>Summary_Services!F66</f>
        <v>0</v>
      </c>
      <c r="E69" s="526"/>
      <c r="F69" s="526"/>
      <c r="G69" s="526">
        <f t="shared" si="2"/>
        <v>0</v>
      </c>
      <c r="H69" s="527"/>
      <c r="J69" s="530">
        <f>$G69*Summary_Services!Y66</f>
        <v>0</v>
      </c>
      <c r="K69" s="70">
        <f>$G69*Summary_Services!Z66</f>
        <v>0</v>
      </c>
      <c r="L69" s="70">
        <f>$G69*Summary_Services!AA66</f>
        <v>0</v>
      </c>
      <c r="M69" s="70">
        <f>$G69*Summary_Services!AB66</f>
        <v>0</v>
      </c>
      <c r="N69" s="70">
        <f>$G69*Summary_Services!AC66</f>
        <v>0</v>
      </c>
      <c r="O69" s="267">
        <f>$G69*Summary_Services!AD66</f>
        <v>0</v>
      </c>
      <c r="Q69" s="530">
        <f>$H69*Summary_Services!Y66</f>
        <v>0</v>
      </c>
      <c r="R69" s="70">
        <f>$H69*Summary_Services!Z66</f>
        <v>0</v>
      </c>
      <c r="S69" s="70">
        <f>$H69*Summary_Services!AA66</f>
        <v>0</v>
      </c>
      <c r="T69" s="70">
        <f>$H69*Summary_Services!AB66</f>
        <v>0</v>
      </c>
      <c r="U69" s="70">
        <f>$H69*Summary_Services!AC66</f>
        <v>0</v>
      </c>
      <c r="V69" s="267">
        <f>$H69*Summary_Services!AD66</f>
        <v>0</v>
      </c>
    </row>
    <row r="70" spans="1:22">
      <c r="A70" s="1">
        <v>62</v>
      </c>
      <c r="B70" s="412">
        <f>Summary_Services!B67</f>
        <v>0</v>
      </c>
      <c r="C70" s="412">
        <f>Summary_Services!C67</f>
        <v>0</v>
      </c>
      <c r="D70" s="412">
        <f>Summary_Services!F67</f>
        <v>0</v>
      </c>
      <c r="E70" s="526"/>
      <c r="F70" s="526"/>
      <c r="G70" s="526">
        <f t="shared" si="2"/>
        <v>0</v>
      </c>
      <c r="H70" s="527"/>
      <c r="J70" s="530">
        <f>$G70*Summary_Services!Y67</f>
        <v>0</v>
      </c>
      <c r="K70" s="70">
        <f>$G70*Summary_Services!Z67</f>
        <v>0</v>
      </c>
      <c r="L70" s="70">
        <f>$G70*Summary_Services!AA67</f>
        <v>0</v>
      </c>
      <c r="M70" s="70">
        <f>$G70*Summary_Services!AB67</f>
        <v>0</v>
      </c>
      <c r="N70" s="70">
        <f>$G70*Summary_Services!AC67</f>
        <v>0</v>
      </c>
      <c r="O70" s="267">
        <f>$G70*Summary_Services!AD67</f>
        <v>0</v>
      </c>
      <c r="Q70" s="530">
        <f>$H70*Summary_Services!Y67</f>
        <v>0</v>
      </c>
      <c r="R70" s="70">
        <f>$H70*Summary_Services!Z67</f>
        <v>0</v>
      </c>
      <c r="S70" s="70">
        <f>$H70*Summary_Services!AA67</f>
        <v>0</v>
      </c>
      <c r="T70" s="70">
        <f>$H70*Summary_Services!AB67</f>
        <v>0</v>
      </c>
      <c r="U70" s="70">
        <f>$H70*Summary_Services!AC67</f>
        <v>0</v>
      </c>
      <c r="V70" s="267">
        <f>$H70*Summary_Services!AD67</f>
        <v>0</v>
      </c>
    </row>
    <row r="71" spans="1:22">
      <c r="A71" s="1">
        <v>63</v>
      </c>
      <c r="B71" s="412">
        <f>Summary_Services!B68</f>
        <v>0</v>
      </c>
      <c r="C71" s="412">
        <f>Summary_Services!C68</f>
        <v>0</v>
      </c>
      <c r="D71" s="412">
        <f>Summary_Services!F68</f>
        <v>0</v>
      </c>
      <c r="E71" s="526"/>
      <c r="F71" s="526"/>
      <c r="G71" s="526">
        <f t="shared" si="2"/>
        <v>0</v>
      </c>
      <c r="H71" s="527"/>
      <c r="J71" s="530">
        <f>$G71*Summary_Services!Y68</f>
        <v>0</v>
      </c>
      <c r="K71" s="70">
        <f>$G71*Summary_Services!Z68</f>
        <v>0</v>
      </c>
      <c r="L71" s="70">
        <f>$G71*Summary_Services!AA68</f>
        <v>0</v>
      </c>
      <c r="M71" s="70">
        <f>$G71*Summary_Services!AB68</f>
        <v>0</v>
      </c>
      <c r="N71" s="70">
        <f>$G71*Summary_Services!AC68</f>
        <v>0</v>
      </c>
      <c r="O71" s="267">
        <f>$G71*Summary_Services!AD68</f>
        <v>0</v>
      </c>
      <c r="Q71" s="530">
        <f>$H71*Summary_Services!Y68</f>
        <v>0</v>
      </c>
      <c r="R71" s="70">
        <f>$H71*Summary_Services!Z68</f>
        <v>0</v>
      </c>
      <c r="S71" s="70">
        <f>$H71*Summary_Services!AA68</f>
        <v>0</v>
      </c>
      <c r="T71" s="70">
        <f>$H71*Summary_Services!AB68</f>
        <v>0</v>
      </c>
      <c r="U71" s="70">
        <f>$H71*Summary_Services!AC68</f>
        <v>0</v>
      </c>
      <c r="V71" s="267">
        <f>$H71*Summary_Services!AD68</f>
        <v>0</v>
      </c>
    </row>
    <row r="72" spans="1:22">
      <c r="A72" s="1">
        <v>64</v>
      </c>
      <c r="B72" s="412">
        <f>Summary_Services!B69</f>
        <v>0</v>
      </c>
      <c r="C72" s="412">
        <f>Summary_Services!C69</f>
        <v>0</v>
      </c>
      <c r="D72" s="412">
        <f>Summary_Services!F69</f>
        <v>0</v>
      </c>
      <c r="E72" s="526"/>
      <c r="F72" s="526"/>
      <c r="G72" s="526">
        <f t="shared" si="2"/>
        <v>0</v>
      </c>
      <c r="H72" s="527"/>
      <c r="J72" s="530">
        <f>$G72*Summary_Services!Y69</f>
        <v>0</v>
      </c>
      <c r="K72" s="70">
        <f>$G72*Summary_Services!Z69</f>
        <v>0</v>
      </c>
      <c r="L72" s="70">
        <f>$G72*Summary_Services!AA69</f>
        <v>0</v>
      </c>
      <c r="M72" s="70">
        <f>$G72*Summary_Services!AB69</f>
        <v>0</v>
      </c>
      <c r="N72" s="70">
        <f>$G72*Summary_Services!AC69</f>
        <v>0</v>
      </c>
      <c r="O72" s="267">
        <f>$G72*Summary_Services!AD69</f>
        <v>0</v>
      </c>
      <c r="Q72" s="530">
        <f>$H72*Summary_Services!Y69</f>
        <v>0</v>
      </c>
      <c r="R72" s="70">
        <f>$H72*Summary_Services!Z69</f>
        <v>0</v>
      </c>
      <c r="S72" s="70">
        <f>$H72*Summary_Services!AA69</f>
        <v>0</v>
      </c>
      <c r="T72" s="70">
        <f>$H72*Summary_Services!AB69</f>
        <v>0</v>
      </c>
      <c r="U72" s="70">
        <f>$H72*Summary_Services!AC69</f>
        <v>0</v>
      </c>
      <c r="V72" s="267">
        <f>$H72*Summary_Services!AD69</f>
        <v>0</v>
      </c>
    </row>
    <row r="73" spans="1:22">
      <c r="A73" s="1">
        <v>65</v>
      </c>
      <c r="B73" s="412">
        <f>Summary_Services!B70</f>
        <v>0</v>
      </c>
      <c r="C73" s="412">
        <f>Summary_Services!C70</f>
        <v>0</v>
      </c>
      <c r="D73" s="412">
        <f>Summary_Services!F70</f>
        <v>0</v>
      </c>
      <c r="E73" s="526"/>
      <c r="F73" s="526"/>
      <c r="G73" s="526">
        <f t="shared" si="2"/>
        <v>0</v>
      </c>
      <c r="H73" s="527"/>
      <c r="J73" s="530">
        <f>$G73*Summary_Services!Y70</f>
        <v>0</v>
      </c>
      <c r="K73" s="70">
        <f>$G73*Summary_Services!Z70</f>
        <v>0</v>
      </c>
      <c r="L73" s="70">
        <f>$G73*Summary_Services!AA70</f>
        <v>0</v>
      </c>
      <c r="M73" s="70">
        <f>$G73*Summary_Services!AB70</f>
        <v>0</v>
      </c>
      <c r="N73" s="70">
        <f>$G73*Summary_Services!AC70</f>
        <v>0</v>
      </c>
      <c r="O73" s="267">
        <f>$G73*Summary_Services!AD70</f>
        <v>0</v>
      </c>
      <c r="Q73" s="530">
        <f>$H73*Summary_Services!Y70</f>
        <v>0</v>
      </c>
      <c r="R73" s="70">
        <f>$H73*Summary_Services!Z70</f>
        <v>0</v>
      </c>
      <c r="S73" s="70">
        <f>$H73*Summary_Services!AA70</f>
        <v>0</v>
      </c>
      <c r="T73" s="70">
        <f>$H73*Summary_Services!AB70</f>
        <v>0</v>
      </c>
      <c r="U73" s="70">
        <f>$H73*Summary_Services!AC70</f>
        <v>0</v>
      </c>
      <c r="V73" s="267">
        <f>$H73*Summary_Services!AD70</f>
        <v>0</v>
      </c>
    </row>
    <row r="74" spans="1:22">
      <c r="A74" s="1">
        <v>66</v>
      </c>
      <c r="B74" s="412">
        <f>Summary_Services!B71</f>
        <v>0</v>
      </c>
      <c r="C74" s="412">
        <f>Summary_Services!C71</f>
        <v>0</v>
      </c>
      <c r="D74" s="412">
        <f>Summary_Services!F71</f>
        <v>0</v>
      </c>
      <c r="E74" s="526"/>
      <c r="F74" s="526"/>
      <c r="G74" s="526">
        <f t="shared" ref="G74:G108" si="3">IF(F74="Minutes",E74,IF(F74="Hours",E74*60,IF(F74="Days",E74*60*8,0)))</f>
        <v>0</v>
      </c>
      <c r="H74" s="527"/>
      <c r="J74" s="530">
        <f>$G74*Summary_Services!Y71</f>
        <v>0</v>
      </c>
      <c r="K74" s="70">
        <f>$G74*Summary_Services!Z71</f>
        <v>0</v>
      </c>
      <c r="L74" s="70">
        <f>$G74*Summary_Services!AA71</f>
        <v>0</v>
      </c>
      <c r="M74" s="70">
        <f>$G74*Summary_Services!AB71</f>
        <v>0</v>
      </c>
      <c r="N74" s="70">
        <f>$G74*Summary_Services!AC71</f>
        <v>0</v>
      </c>
      <c r="O74" s="267">
        <f>$G74*Summary_Services!AD71</f>
        <v>0</v>
      </c>
      <c r="Q74" s="530">
        <f>$H74*Summary_Services!Y71</f>
        <v>0</v>
      </c>
      <c r="R74" s="70">
        <f>$H74*Summary_Services!Z71</f>
        <v>0</v>
      </c>
      <c r="S74" s="70">
        <f>$H74*Summary_Services!AA71</f>
        <v>0</v>
      </c>
      <c r="T74" s="70">
        <f>$H74*Summary_Services!AB71</f>
        <v>0</v>
      </c>
      <c r="U74" s="70">
        <f>$H74*Summary_Services!AC71</f>
        <v>0</v>
      </c>
      <c r="V74" s="267">
        <f>$H74*Summary_Services!AD71</f>
        <v>0</v>
      </c>
    </row>
    <row r="75" spans="1:22">
      <c r="A75" s="1">
        <v>67</v>
      </c>
      <c r="B75" s="412">
        <f>Summary_Services!B72</f>
        <v>0</v>
      </c>
      <c r="C75" s="412">
        <f>Summary_Services!C72</f>
        <v>0</v>
      </c>
      <c r="D75" s="412">
        <f>Summary_Services!F72</f>
        <v>0</v>
      </c>
      <c r="E75" s="526"/>
      <c r="F75" s="526"/>
      <c r="G75" s="526">
        <f t="shared" si="3"/>
        <v>0</v>
      </c>
      <c r="H75" s="527"/>
      <c r="J75" s="530">
        <f>$G75*Summary_Services!Y72</f>
        <v>0</v>
      </c>
      <c r="K75" s="70">
        <f>$G75*Summary_Services!Z72</f>
        <v>0</v>
      </c>
      <c r="L75" s="70">
        <f>$G75*Summary_Services!AA72</f>
        <v>0</v>
      </c>
      <c r="M75" s="70">
        <f>$G75*Summary_Services!AB72</f>
        <v>0</v>
      </c>
      <c r="N75" s="70">
        <f>$G75*Summary_Services!AC72</f>
        <v>0</v>
      </c>
      <c r="O75" s="267">
        <f>$G75*Summary_Services!AD72</f>
        <v>0</v>
      </c>
      <c r="Q75" s="530">
        <f>$H75*Summary_Services!Y72</f>
        <v>0</v>
      </c>
      <c r="R75" s="70">
        <f>$H75*Summary_Services!Z72</f>
        <v>0</v>
      </c>
      <c r="S75" s="70">
        <f>$H75*Summary_Services!AA72</f>
        <v>0</v>
      </c>
      <c r="T75" s="70">
        <f>$H75*Summary_Services!AB72</f>
        <v>0</v>
      </c>
      <c r="U75" s="70">
        <f>$H75*Summary_Services!AC72</f>
        <v>0</v>
      </c>
      <c r="V75" s="267">
        <f>$H75*Summary_Services!AD72</f>
        <v>0</v>
      </c>
    </row>
    <row r="76" spans="1:22">
      <c r="A76" s="1">
        <v>68</v>
      </c>
      <c r="B76" s="412">
        <f>Summary_Services!B73</f>
        <v>0</v>
      </c>
      <c r="C76" s="412">
        <f>Summary_Services!C73</f>
        <v>0</v>
      </c>
      <c r="D76" s="412">
        <f>Summary_Services!F73</f>
        <v>0</v>
      </c>
      <c r="E76" s="526"/>
      <c r="F76" s="526"/>
      <c r="G76" s="526">
        <f t="shared" si="3"/>
        <v>0</v>
      </c>
      <c r="H76" s="527"/>
      <c r="J76" s="530">
        <f>$G76*Summary_Services!Y73</f>
        <v>0</v>
      </c>
      <c r="K76" s="70">
        <f>$G76*Summary_Services!Z73</f>
        <v>0</v>
      </c>
      <c r="L76" s="70">
        <f>$G76*Summary_Services!AA73</f>
        <v>0</v>
      </c>
      <c r="M76" s="70">
        <f>$G76*Summary_Services!AB73</f>
        <v>0</v>
      </c>
      <c r="N76" s="70">
        <f>$G76*Summary_Services!AC73</f>
        <v>0</v>
      </c>
      <c r="O76" s="267">
        <f>$G76*Summary_Services!AD73</f>
        <v>0</v>
      </c>
      <c r="Q76" s="530">
        <f>$H76*Summary_Services!Y73</f>
        <v>0</v>
      </c>
      <c r="R76" s="70">
        <f>$H76*Summary_Services!Z73</f>
        <v>0</v>
      </c>
      <c r="S76" s="70">
        <f>$H76*Summary_Services!AA73</f>
        <v>0</v>
      </c>
      <c r="T76" s="70">
        <f>$H76*Summary_Services!AB73</f>
        <v>0</v>
      </c>
      <c r="U76" s="70">
        <f>$H76*Summary_Services!AC73</f>
        <v>0</v>
      </c>
      <c r="V76" s="267">
        <f>$H76*Summary_Services!AD73</f>
        <v>0</v>
      </c>
    </row>
    <row r="77" spans="1:22">
      <c r="A77" s="1">
        <v>69</v>
      </c>
      <c r="B77" s="412">
        <f>Summary_Services!B74</f>
        <v>0</v>
      </c>
      <c r="C77" s="412">
        <f>Summary_Services!C74</f>
        <v>0</v>
      </c>
      <c r="D77" s="412">
        <f>Summary_Services!F74</f>
        <v>0</v>
      </c>
      <c r="E77" s="526"/>
      <c r="F77" s="526"/>
      <c r="G77" s="526">
        <f t="shared" si="3"/>
        <v>0</v>
      </c>
      <c r="H77" s="527"/>
      <c r="J77" s="530">
        <f>$G77*Summary_Services!Y74</f>
        <v>0</v>
      </c>
      <c r="K77" s="70">
        <f>$G77*Summary_Services!Z74</f>
        <v>0</v>
      </c>
      <c r="L77" s="70">
        <f>$G77*Summary_Services!AA74</f>
        <v>0</v>
      </c>
      <c r="M77" s="70">
        <f>$G77*Summary_Services!AB74</f>
        <v>0</v>
      </c>
      <c r="N77" s="70">
        <f>$G77*Summary_Services!AC74</f>
        <v>0</v>
      </c>
      <c r="O77" s="267">
        <f>$G77*Summary_Services!AD74</f>
        <v>0</v>
      </c>
      <c r="Q77" s="530">
        <f>$H77*Summary_Services!Y74</f>
        <v>0</v>
      </c>
      <c r="R77" s="70">
        <f>$H77*Summary_Services!Z74</f>
        <v>0</v>
      </c>
      <c r="S77" s="70">
        <f>$H77*Summary_Services!AA74</f>
        <v>0</v>
      </c>
      <c r="T77" s="70">
        <f>$H77*Summary_Services!AB74</f>
        <v>0</v>
      </c>
      <c r="U77" s="70">
        <f>$H77*Summary_Services!AC74</f>
        <v>0</v>
      </c>
      <c r="V77" s="267">
        <f>$H77*Summary_Services!AD74</f>
        <v>0</v>
      </c>
    </row>
    <row r="78" spans="1:22">
      <c r="A78" s="1">
        <v>70</v>
      </c>
      <c r="B78" s="412">
        <f>Summary_Services!B75</f>
        <v>0</v>
      </c>
      <c r="C78" s="412">
        <f>Summary_Services!C75</f>
        <v>0</v>
      </c>
      <c r="D78" s="412">
        <f>Summary_Services!F75</f>
        <v>0</v>
      </c>
      <c r="E78" s="526"/>
      <c r="F78" s="526"/>
      <c r="G78" s="526">
        <f t="shared" si="3"/>
        <v>0</v>
      </c>
      <c r="H78" s="527"/>
      <c r="J78" s="530">
        <f>$G78*Summary_Services!Y75</f>
        <v>0</v>
      </c>
      <c r="K78" s="70">
        <f>$G78*Summary_Services!Z75</f>
        <v>0</v>
      </c>
      <c r="L78" s="70">
        <f>$G78*Summary_Services!AA75</f>
        <v>0</v>
      </c>
      <c r="M78" s="70">
        <f>$G78*Summary_Services!AB75</f>
        <v>0</v>
      </c>
      <c r="N78" s="70">
        <f>$G78*Summary_Services!AC75</f>
        <v>0</v>
      </c>
      <c r="O78" s="267">
        <f>$G78*Summary_Services!AD75</f>
        <v>0</v>
      </c>
      <c r="Q78" s="530">
        <f>$H78*Summary_Services!Y75</f>
        <v>0</v>
      </c>
      <c r="R78" s="70">
        <f>$H78*Summary_Services!Z75</f>
        <v>0</v>
      </c>
      <c r="S78" s="70">
        <f>$H78*Summary_Services!AA75</f>
        <v>0</v>
      </c>
      <c r="T78" s="70">
        <f>$H78*Summary_Services!AB75</f>
        <v>0</v>
      </c>
      <c r="U78" s="70">
        <f>$H78*Summary_Services!AC75</f>
        <v>0</v>
      </c>
      <c r="V78" s="267">
        <f>$H78*Summary_Services!AD75</f>
        <v>0</v>
      </c>
    </row>
    <row r="79" spans="1:22">
      <c r="A79" s="1">
        <v>71</v>
      </c>
      <c r="B79" s="412">
        <f>Summary_Services!B76</f>
        <v>0</v>
      </c>
      <c r="C79" s="412">
        <f>Summary_Services!C76</f>
        <v>0</v>
      </c>
      <c r="D79" s="412">
        <f>Summary_Services!F76</f>
        <v>0</v>
      </c>
      <c r="E79" s="526"/>
      <c r="F79" s="526"/>
      <c r="G79" s="526">
        <f t="shared" si="3"/>
        <v>0</v>
      </c>
      <c r="H79" s="527"/>
      <c r="J79" s="530">
        <f>$G79*Summary_Services!Y76</f>
        <v>0</v>
      </c>
      <c r="K79" s="70">
        <f>$G79*Summary_Services!Z76</f>
        <v>0</v>
      </c>
      <c r="L79" s="70">
        <f>$G79*Summary_Services!AA76</f>
        <v>0</v>
      </c>
      <c r="M79" s="70">
        <f>$G79*Summary_Services!AB76</f>
        <v>0</v>
      </c>
      <c r="N79" s="70">
        <f>$G79*Summary_Services!AC76</f>
        <v>0</v>
      </c>
      <c r="O79" s="267">
        <f>$G79*Summary_Services!AD76</f>
        <v>0</v>
      </c>
      <c r="Q79" s="530">
        <f>$H79*Summary_Services!Y76</f>
        <v>0</v>
      </c>
      <c r="R79" s="70">
        <f>$H79*Summary_Services!Z76</f>
        <v>0</v>
      </c>
      <c r="S79" s="70">
        <f>$H79*Summary_Services!AA76</f>
        <v>0</v>
      </c>
      <c r="T79" s="70">
        <f>$H79*Summary_Services!AB76</f>
        <v>0</v>
      </c>
      <c r="U79" s="70">
        <f>$H79*Summary_Services!AC76</f>
        <v>0</v>
      </c>
      <c r="V79" s="267">
        <f>$H79*Summary_Services!AD76</f>
        <v>0</v>
      </c>
    </row>
    <row r="80" spans="1:22">
      <c r="A80" s="1">
        <v>72</v>
      </c>
      <c r="B80" s="412">
        <f>Summary_Services!B77</f>
        <v>0</v>
      </c>
      <c r="C80" s="412">
        <f>Summary_Services!C77</f>
        <v>0</v>
      </c>
      <c r="D80" s="412">
        <f>Summary_Services!F77</f>
        <v>0</v>
      </c>
      <c r="E80" s="526"/>
      <c r="F80" s="526"/>
      <c r="G80" s="526">
        <f t="shared" si="3"/>
        <v>0</v>
      </c>
      <c r="H80" s="527"/>
      <c r="J80" s="530">
        <f>$G80*Summary_Services!Y77</f>
        <v>0</v>
      </c>
      <c r="K80" s="70">
        <f>$G80*Summary_Services!Z77</f>
        <v>0</v>
      </c>
      <c r="L80" s="70">
        <f>$G80*Summary_Services!AA77</f>
        <v>0</v>
      </c>
      <c r="M80" s="70">
        <f>$G80*Summary_Services!AB77</f>
        <v>0</v>
      </c>
      <c r="N80" s="70">
        <f>$G80*Summary_Services!AC77</f>
        <v>0</v>
      </c>
      <c r="O80" s="267">
        <f>$G80*Summary_Services!AD77</f>
        <v>0</v>
      </c>
      <c r="Q80" s="530">
        <f>$H80*Summary_Services!Y77</f>
        <v>0</v>
      </c>
      <c r="R80" s="70">
        <f>$H80*Summary_Services!Z77</f>
        <v>0</v>
      </c>
      <c r="S80" s="70">
        <f>$H80*Summary_Services!AA77</f>
        <v>0</v>
      </c>
      <c r="T80" s="70">
        <f>$H80*Summary_Services!AB77</f>
        <v>0</v>
      </c>
      <c r="U80" s="70">
        <f>$H80*Summary_Services!AC77</f>
        <v>0</v>
      </c>
      <c r="V80" s="267">
        <f>$H80*Summary_Services!AD77</f>
        <v>0</v>
      </c>
    </row>
    <row r="81" spans="1:22">
      <c r="A81" s="1">
        <v>73</v>
      </c>
      <c r="B81" s="412">
        <f>Summary_Services!B78</f>
        <v>0</v>
      </c>
      <c r="C81" s="412">
        <f>Summary_Services!C78</f>
        <v>0</v>
      </c>
      <c r="D81" s="412">
        <f>Summary_Services!F78</f>
        <v>0</v>
      </c>
      <c r="E81" s="526"/>
      <c r="F81" s="526"/>
      <c r="G81" s="526">
        <f t="shared" si="3"/>
        <v>0</v>
      </c>
      <c r="H81" s="527"/>
      <c r="J81" s="530">
        <f>$G81*Summary_Services!Y78</f>
        <v>0</v>
      </c>
      <c r="K81" s="70">
        <f>$G81*Summary_Services!Z78</f>
        <v>0</v>
      </c>
      <c r="L81" s="70">
        <f>$G81*Summary_Services!AA78</f>
        <v>0</v>
      </c>
      <c r="M81" s="70">
        <f>$G81*Summary_Services!AB78</f>
        <v>0</v>
      </c>
      <c r="N81" s="70">
        <f>$G81*Summary_Services!AC78</f>
        <v>0</v>
      </c>
      <c r="O81" s="267">
        <f>$G81*Summary_Services!AD78</f>
        <v>0</v>
      </c>
      <c r="Q81" s="530">
        <f>$H81*Summary_Services!Y78</f>
        <v>0</v>
      </c>
      <c r="R81" s="70">
        <f>$H81*Summary_Services!Z78</f>
        <v>0</v>
      </c>
      <c r="S81" s="70">
        <f>$H81*Summary_Services!AA78</f>
        <v>0</v>
      </c>
      <c r="T81" s="70">
        <f>$H81*Summary_Services!AB78</f>
        <v>0</v>
      </c>
      <c r="U81" s="70">
        <f>$H81*Summary_Services!AC78</f>
        <v>0</v>
      </c>
      <c r="V81" s="267">
        <f>$H81*Summary_Services!AD78</f>
        <v>0</v>
      </c>
    </row>
    <row r="82" spans="1:22">
      <c r="A82" s="1">
        <v>74</v>
      </c>
      <c r="B82" s="412">
        <f>Summary_Services!B79</f>
        <v>0</v>
      </c>
      <c r="C82" s="412">
        <f>Summary_Services!C79</f>
        <v>0</v>
      </c>
      <c r="D82" s="412">
        <f>Summary_Services!F79</f>
        <v>0</v>
      </c>
      <c r="E82" s="526"/>
      <c r="F82" s="526"/>
      <c r="G82" s="526">
        <f t="shared" si="3"/>
        <v>0</v>
      </c>
      <c r="H82" s="527"/>
      <c r="J82" s="530">
        <f>$G82*Summary_Services!Y79</f>
        <v>0</v>
      </c>
      <c r="K82" s="70">
        <f>$G82*Summary_Services!Z79</f>
        <v>0</v>
      </c>
      <c r="L82" s="70">
        <f>$G82*Summary_Services!AA79</f>
        <v>0</v>
      </c>
      <c r="M82" s="70">
        <f>$G82*Summary_Services!AB79</f>
        <v>0</v>
      </c>
      <c r="N82" s="70">
        <f>$G82*Summary_Services!AC79</f>
        <v>0</v>
      </c>
      <c r="O82" s="267">
        <f>$G82*Summary_Services!AD79</f>
        <v>0</v>
      </c>
      <c r="Q82" s="530">
        <f>$H82*Summary_Services!Y79</f>
        <v>0</v>
      </c>
      <c r="R82" s="70">
        <f>$H82*Summary_Services!Z79</f>
        <v>0</v>
      </c>
      <c r="S82" s="70">
        <f>$H82*Summary_Services!AA79</f>
        <v>0</v>
      </c>
      <c r="T82" s="70">
        <f>$H82*Summary_Services!AB79</f>
        <v>0</v>
      </c>
      <c r="U82" s="70">
        <f>$H82*Summary_Services!AC79</f>
        <v>0</v>
      </c>
      <c r="V82" s="267">
        <f>$H82*Summary_Services!AD79</f>
        <v>0</v>
      </c>
    </row>
    <row r="83" spans="1:22">
      <c r="A83" s="1">
        <v>75</v>
      </c>
      <c r="B83" s="412">
        <f>Summary_Services!B80</f>
        <v>0</v>
      </c>
      <c r="C83" s="412">
        <f>Summary_Services!C80</f>
        <v>0</v>
      </c>
      <c r="D83" s="412">
        <f>Summary_Services!F80</f>
        <v>0</v>
      </c>
      <c r="E83" s="526"/>
      <c r="F83" s="526"/>
      <c r="G83" s="526">
        <f t="shared" si="3"/>
        <v>0</v>
      </c>
      <c r="H83" s="527"/>
      <c r="J83" s="530">
        <f>$G83*Summary_Services!Y80</f>
        <v>0</v>
      </c>
      <c r="K83" s="70">
        <f>$G83*Summary_Services!Z80</f>
        <v>0</v>
      </c>
      <c r="L83" s="70">
        <f>$G83*Summary_Services!AA80</f>
        <v>0</v>
      </c>
      <c r="M83" s="70">
        <f>$G83*Summary_Services!AB80</f>
        <v>0</v>
      </c>
      <c r="N83" s="70">
        <f>$G83*Summary_Services!AC80</f>
        <v>0</v>
      </c>
      <c r="O83" s="267">
        <f>$G83*Summary_Services!AD80</f>
        <v>0</v>
      </c>
      <c r="Q83" s="530">
        <f>$H83*Summary_Services!Y80</f>
        <v>0</v>
      </c>
      <c r="R83" s="70">
        <f>$H83*Summary_Services!Z80</f>
        <v>0</v>
      </c>
      <c r="S83" s="70">
        <f>$H83*Summary_Services!AA80</f>
        <v>0</v>
      </c>
      <c r="T83" s="70">
        <f>$H83*Summary_Services!AB80</f>
        <v>0</v>
      </c>
      <c r="U83" s="70">
        <f>$H83*Summary_Services!AC80</f>
        <v>0</v>
      </c>
      <c r="V83" s="267">
        <f>$H83*Summary_Services!AD80</f>
        <v>0</v>
      </c>
    </row>
    <row r="84" spans="1:22">
      <c r="A84" s="1">
        <v>76</v>
      </c>
      <c r="B84" s="412">
        <f>Summary_Services!B81</f>
        <v>0</v>
      </c>
      <c r="C84" s="412">
        <f>Summary_Services!C81</f>
        <v>0</v>
      </c>
      <c r="D84" s="412">
        <f>Summary_Services!F81</f>
        <v>0</v>
      </c>
      <c r="E84" s="526"/>
      <c r="F84" s="526"/>
      <c r="G84" s="526">
        <f t="shared" si="3"/>
        <v>0</v>
      </c>
      <c r="H84" s="527"/>
      <c r="J84" s="530">
        <f>$G84*Summary_Services!Y81</f>
        <v>0</v>
      </c>
      <c r="K84" s="70">
        <f>$G84*Summary_Services!Z81</f>
        <v>0</v>
      </c>
      <c r="L84" s="70">
        <f>$G84*Summary_Services!AA81</f>
        <v>0</v>
      </c>
      <c r="M84" s="70">
        <f>$G84*Summary_Services!AB81</f>
        <v>0</v>
      </c>
      <c r="N84" s="70">
        <f>$G84*Summary_Services!AC81</f>
        <v>0</v>
      </c>
      <c r="O84" s="267">
        <f>$G84*Summary_Services!AD81</f>
        <v>0</v>
      </c>
      <c r="Q84" s="530">
        <f>$H84*Summary_Services!Y81</f>
        <v>0</v>
      </c>
      <c r="R84" s="70">
        <f>$H84*Summary_Services!Z81</f>
        <v>0</v>
      </c>
      <c r="S84" s="70">
        <f>$H84*Summary_Services!AA81</f>
        <v>0</v>
      </c>
      <c r="T84" s="70">
        <f>$H84*Summary_Services!AB81</f>
        <v>0</v>
      </c>
      <c r="U84" s="70">
        <f>$H84*Summary_Services!AC81</f>
        <v>0</v>
      </c>
      <c r="V84" s="267">
        <f>$H84*Summary_Services!AD81</f>
        <v>0</v>
      </c>
    </row>
    <row r="85" spans="1:22">
      <c r="A85" s="1">
        <v>77</v>
      </c>
      <c r="B85" s="412">
        <f>Summary_Services!B82</f>
        <v>0</v>
      </c>
      <c r="C85" s="412">
        <f>Summary_Services!C82</f>
        <v>0</v>
      </c>
      <c r="D85" s="412">
        <f>Summary_Services!F82</f>
        <v>0</v>
      </c>
      <c r="E85" s="526"/>
      <c r="F85" s="526"/>
      <c r="G85" s="526">
        <f t="shared" si="3"/>
        <v>0</v>
      </c>
      <c r="H85" s="527"/>
      <c r="J85" s="530">
        <f>$G85*Summary_Services!Y82</f>
        <v>0</v>
      </c>
      <c r="K85" s="70">
        <f>$G85*Summary_Services!Z82</f>
        <v>0</v>
      </c>
      <c r="L85" s="70">
        <f>$G85*Summary_Services!AA82</f>
        <v>0</v>
      </c>
      <c r="M85" s="70">
        <f>$G85*Summary_Services!AB82</f>
        <v>0</v>
      </c>
      <c r="N85" s="70">
        <f>$G85*Summary_Services!AC82</f>
        <v>0</v>
      </c>
      <c r="O85" s="267">
        <f>$G85*Summary_Services!AD82</f>
        <v>0</v>
      </c>
      <c r="Q85" s="530">
        <f>$H85*Summary_Services!Y82</f>
        <v>0</v>
      </c>
      <c r="R85" s="70">
        <f>$H85*Summary_Services!Z82</f>
        <v>0</v>
      </c>
      <c r="S85" s="70">
        <f>$H85*Summary_Services!AA82</f>
        <v>0</v>
      </c>
      <c r="T85" s="70">
        <f>$H85*Summary_Services!AB82</f>
        <v>0</v>
      </c>
      <c r="U85" s="70">
        <f>$H85*Summary_Services!AC82</f>
        <v>0</v>
      </c>
      <c r="V85" s="267">
        <f>$H85*Summary_Services!AD82</f>
        <v>0</v>
      </c>
    </row>
    <row r="86" spans="1:22" ht="14.7" customHeight="1">
      <c r="A86" s="1">
        <v>78</v>
      </c>
      <c r="B86" s="412">
        <f>Summary_Services!B83</f>
        <v>0</v>
      </c>
      <c r="C86" s="412">
        <f>Summary_Services!C83</f>
        <v>0</v>
      </c>
      <c r="D86" s="412">
        <f>Summary_Services!F83</f>
        <v>0</v>
      </c>
      <c r="E86" s="526"/>
      <c r="F86" s="526"/>
      <c r="G86" s="526">
        <f t="shared" si="3"/>
        <v>0</v>
      </c>
      <c r="H86" s="527"/>
      <c r="J86" s="530">
        <f>$G86*Summary_Services!Y83</f>
        <v>0</v>
      </c>
      <c r="K86" s="70">
        <f>$G86*Summary_Services!Z83</f>
        <v>0</v>
      </c>
      <c r="L86" s="70">
        <f>$G86*Summary_Services!AA83</f>
        <v>0</v>
      </c>
      <c r="M86" s="70">
        <f>$G86*Summary_Services!AB83</f>
        <v>0</v>
      </c>
      <c r="N86" s="70">
        <f>$G86*Summary_Services!AC83</f>
        <v>0</v>
      </c>
      <c r="O86" s="267">
        <f>$G86*Summary_Services!AD83</f>
        <v>0</v>
      </c>
      <c r="Q86" s="530">
        <f>$H86*Summary_Services!Y83</f>
        <v>0</v>
      </c>
      <c r="R86" s="70">
        <f>$H86*Summary_Services!Z83</f>
        <v>0</v>
      </c>
      <c r="S86" s="70">
        <f>$H86*Summary_Services!AA83</f>
        <v>0</v>
      </c>
      <c r="T86" s="70">
        <f>$H86*Summary_Services!AB83</f>
        <v>0</v>
      </c>
      <c r="U86" s="70">
        <f>$H86*Summary_Services!AC83</f>
        <v>0</v>
      </c>
      <c r="V86" s="267">
        <f>$H86*Summary_Services!AD83</f>
        <v>0</v>
      </c>
    </row>
    <row r="87" spans="1:22">
      <c r="A87" s="1">
        <v>79</v>
      </c>
      <c r="B87" s="412">
        <f>Summary_Services!B84</f>
        <v>0</v>
      </c>
      <c r="C87" s="412">
        <f>Summary_Services!C84</f>
        <v>0</v>
      </c>
      <c r="D87" s="412">
        <f>Summary_Services!F84</f>
        <v>0</v>
      </c>
      <c r="E87" s="526"/>
      <c r="F87" s="526"/>
      <c r="G87" s="526">
        <f t="shared" si="3"/>
        <v>0</v>
      </c>
      <c r="H87" s="527"/>
      <c r="J87" s="530">
        <f>$G87*Summary_Services!Y84</f>
        <v>0</v>
      </c>
      <c r="K87" s="70">
        <f>$G87*Summary_Services!Z84</f>
        <v>0</v>
      </c>
      <c r="L87" s="70">
        <f>$G87*Summary_Services!AA84</f>
        <v>0</v>
      </c>
      <c r="M87" s="70">
        <f>$G87*Summary_Services!AB84</f>
        <v>0</v>
      </c>
      <c r="N87" s="70">
        <f>$G87*Summary_Services!AC84</f>
        <v>0</v>
      </c>
      <c r="O87" s="267">
        <f>$G87*Summary_Services!AD84</f>
        <v>0</v>
      </c>
      <c r="Q87" s="530">
        <f>$H87*Summary_Services!Y84</f>
        <v>0</v>
      </c>
      <c r="R87" s="70">
        <f>$H87*Summary_Services!Z84</f>
        <v>0</v>
      </c>
      <c r="S87" s="70">
        <f>$H87*Summary_Services!AA84</f>
        <v>0</v>
      </c>
      <c r="T87" s="70">
        <f>$H87*Summary_Services!AB84</f>
        <v>0</v>
      </c>
      <c r="U87" s="70">
        <f>$H87*Summary_Services!AC84</f>
        <v>0</v>
      </c>
      <c r="V87" s="267">
        <f>$H87*Summary_Services!AD84</f>
        <v>0</v>
      </c>
    </row>
    <row r="88" spans="1:22">
      <c r="A88" s="1">
        <v>80</v>
      </c>
      <c r="B88" s="412">
        <f>Summary_Services!B85</f>
        <v>0</v>
      </c>
      <c r="C88" s="412">
        <f>Summary_Services!C85</f>
        <v>0</v>
      </c>
      <c r="D88" s="412">
        <f>Summary_Services!F85</f>
        <v>0</v>
      </c>
      <c r="E88" s="526"/>
      <c r="F88" s="526"/>
      <c r="G88" s="526">
        <f t="shared" si="3"/>
        <v>0</v>
      </c>
      <c r="H88" s="527"/>
      <c r="J88" s="530">
        <f>$G88*Summary_Services!Y85</f>
        <v>0</v>
      </c>
      <c r="K88" s="70">
        <f>$G88*Summary_Services!Z85</f>
        <v>0</v>
      </c>
      <c r="L88" s="70">
        <f>$G88*Summary_Services!AA85</f>
        <v>0</v>
      </c>
      <c r="M88" s="70">
        <f>$G88*Summary_Services!AB85</f>
        <v>0</v>
      </c>
      <c r="N88" s="70">
        <f>$G88*Summary_Services!AC85</f>
        <v>0</v>
      </c>
      <c r="O88" s="267">
        <f>$G88*Summary_Services!AD85</f>
        <v>0</v>
      </c>
      <c r="Q88" s="530">
        <f>$H88*Summary_Services!Y85</f>
        <v>0</v>
      </c>
      <c r="R88" s="70">
        <f>$H88*Summary_Services!Z85</f>
        <v>0</v>
      </c>
      <c r="S88" s="70">
        <f>$H88*Summary_Services!AA85</f>
        <v>0</v>
      </c>
      <c r="T88" s="70">
        <f>$H88*Summary_Services!AB85</f>
        <v>0</v>
      </c>
      <c r="U88" s="70">
        <f>$H88*Summary_Services!AC85</f>
        <v>0</v>
      </c>
      <c r="V88" s="267">
        <f>$H88*Summary_Services!AD85</f>
        <v>0</v>
      </c>
    </row>
    <row r="89" spans="1:22">
      <c r="A89" s="1">
        <v>81</v>
      </c>
      <c r="B89" s="412">
        <f>Summary_Services!B86</f>
        <v>0</v>
      </c>
      <c r="C89" s="412">
        <f>Summary_Services!C86</f>
        <v>0</v>
      </c>
      <c r="D89" s="412">
        <f>Summary_Services!F86</f>
        <v>0</v>
      </c>
      <c r="E89" s="526"/>
      <c r="F89" s="526"/>
      <c r="G89" s="526">
        <f t="shared" si="3"/>
        <v>0</v>
      </c>
      <c r="H89" s="527"/>
      <c r="J89" s="530">
        <f>$G89*Summary_Services!Y86</f>
        <v>0</v>
      </c>
      <c r="K89" s="70">
        <f>$G89*Summary_Services!Z86</f>
        <v>0</v>
      </c>
      <c r="L89" s="70">
        <f>$G89*Summary_Services!AA86</f>
        <v>0</v>
      </c>
      <c r="M89" s="70">
        <f>$G89*Summary_Services!AB86</f>
        <v>0</v>
      </c>
      <c r="N89" s="70">
        <f>$G89*Summary_Services!AC86</f>
        <v>0</v>
      </c>
      <c r="O89" s="267">
        <f>$G89*Summary_Services!AD86</f>
        <v>0</v>
      </c>
      <c r="Q89" s="530">
        <f>$H89*Summary_Services!Y86</f>
        <v>0</v>
      </c>
      <c r="R89" s="70">
        <f>$H89*Summary_Services!Z86</f>
        <v>0</v>
      </c>
      <c r="S89" s="70">
        <f>$H89*Summary_Services!AA86</f>
        <v>0</v>
      </c>
      <c r="T89" s="70">
        <f>$H89*Summary_Services!AB86</f>
        <v>0</v>
      </c>
      <c r="U89" s="70">
        <f>$H89*Summary_Services!AC86</f>
        <v>0</v>
      </c>
      <c r="V89" s="267">
        <f>$H89*Summary_Services!AD86</f>
        <v>0</v>
      </c>
    </row>
    <row r="90" spans="1:22">
      <c r="A90" s="1">
        <v>82</v>
      </c>
      <c r="B90" s="412">
        <f>Summary_Services!B87</f>
        <v>0</v>
      </c>
      <c r="C90" s="412">
        <f>Summary_Services!C87</f>
        <v>0</v>
      </c>
      <c r="D90" s="412">
        <f>Summary_Services!F87</f>
        <v>0</v>
      </c>
      <c r="E90" s="526"/>
      <c r="F90" s="526"/>
      <c r="G90" s="526">
        <f t="shared" si="3"/>
        <v>0</v>
      </c>
      <c r="H90" s="527"/>
      <c r="J90" s="530">
        <f>$G90*Summary_Services!Y87</f>
        <v>0</v>
      </c>
      <c r="K90" s="70">
        <f>$G90*Summary_Services!Z87</f>
        <v>0</v>
      </c>
      <c r="L90" s="70">
        <f>$G90*Summary_Services!AA87</f>
        <v>0</v>
      </c>
      <c r="M90" s="70">
        <f>$G90*Summary_Services!AB87</f>
        <v>0</v>
      </c>
      <c r="N90" s="70">
        <f>$G90*Summary_Services!AC87</f>
        <v>0</v>
      </c>
      <c r="O90" s="267">
        <f>$G90*Summary_Services!AD87</f>
        <v>0</v>
      </c>
      <c r="Q90" s="530">
        <f>$H90*Summary_Services!Y87</f>
        <v>0</v>
      </c>
      <c r="R90" s="70">
        <f>$H90*Summary_Services!Z87</f>
        <v>0</v>
      </c>
      <c r="S90" s="70">
        <f>$H90*Summary_Services!AA87</f>
        <v>0</v>
      </c>
      <c r="T90" s="70">
        <f>$H90*Summary_Services!AB87</f>
        <v>0</v>
      </c>
      <c r="U90" s="70">
        <f>$H90*Summary_Services!AC87</f>
        <v>0</v>
      </c>
      <c r="V90" s="267">
        <f>$H90*Summary_Services!AD87</f>
        <v>0</v>
      </c>
    </row>
    <row r="91" spans="1:22">
      <c r="A91" s="1">
        <v>83</v>
      </c>
      <c r="B91" s="412">
        <f>Summary_Services!B88</f>
        <v>0</v>
      </c>
      <c r="C91" s="412">
        <f>Summary_Services!C88</f>
        <v>0</v>
      </c>
      <c r="D91" s="412">
        <f>Summary_Services!F88</f>
        <v>0</v>
      </c>
      <c r="E91" s="526"/>
      <c r="F91" s="526"/>
      <c r="G91" s="526">
        <f t="shared" si="3"/>
        <v>0</v>
      </c>
      <c r="H91" s="527"/>
      <c r="J91" s="530">
        <f>$G91*Summary_Services!Y88</f>
        <v>0</v>
      </c>
      <c r="K91" s="70">
        <f>$G91*Summary_Services!Z88</f>
        <v>0</v>
      </c>
      <c r="L91" s="70">
        <f>$G91*Summary_Services!AA88</f>
        <v>0</v>
      </c>
      <c r="M91" s="70">
        <f>$G91*Summary_Services!AB88</f>
        <v>0</v>
      </c>
      <c r="N91" s="70">
        <f>$G91*Summary_Services!AC88</f>
        <v>0</v>
      </c>
      <c r="O91" s="267">
        <f>$G91*Summary_Services!AD88</f>
        <v>0</v>
      </c>
      <c r="Q91" s="530">
        <f>$H91*Summary_Services!Y88</f>
        <v>0</v>
      </c>
      <c r="R91" s="70">
        <f>$H91*Summary_Services!Z88</f>
        <v>0</v>
      </c>
      <c r="S91" s="70">
        <f>$H91*Summary_Services!AA88</f>
        <v>0</v>
      </c>
      <c r="T91" s="70">
        <f>$H91*Summary_Services!AB88</f>
        <v>0</v>
      </c>
      <c r="U91" s="70">
        <f>$H91*Summary_Services!AC88</f>
        <v>0</v>
      </c>
      <c r="V91" s="267">
        <f>$H91*Summary_Services!AD88</f>
        <v>0</v>
      </c>
    </row>
    <row r="92" spans="1:22">
      <c r="A92" s="1">
        <v>84</v>
      </c>
      <c r="B92" s="412">
        <f>Summary_Services!B89</f>
        <v>0</v>
      </c>
      <c r="C92" s="412">
        <f>Summary_Services!C89</f>
        <v>0</v>
      </c>
      <c r="D92" s="412">
        <f>Summary_Services!F89</f>
        <v>0</v>
      </c>
      <c r="E92" s="526"/>
      <c r="F92" s="526"/>
      <c r="G92" s="526">
        <f t="shared" si="3"/>
        <v>0</v>
      </c>
      <c r="H92" s="527"/>
      <c r="J92" s="530">
        <f>$G92*Summary_Services!Y89</f>
        <v>0</v>
      </c>
      <c r="K92" s="70">
        <f>$G92*Summary_Services!Z89</f>
        <v>0</v>
      </c>
      <c r="L92" s="70">
        <f>$G92*Summary_Services!AA89</f>
        <v>0</v>
      </c>
      <c r="M92" s="70">
        <f>$G92*Summary_Services!AB89</f>
        <v>0</v>
      </c>
      <c r="N92" s="70">
        <f>$G92*Summary_Services!AC89</f>
        <v>0</v>
      </c>
      <c r="O92" s="267">
        <f>$G92*Summary_Services!AD89</f>
        <v>0</v>
      </c>
      <c r="Q92" s="530">
        <f>$H92*Summary_Services!Y89</f>
        <v>0</v>
      </c>
      <c r="R92" s="70">
        <f>$H92*Summary_Services!Z89</f>
        <v>0</v>
      </c>
      <c r="S92" s="70">
        <f>$H92*Summary_Services!AA89</f>
        <v>0</v>
      </c>
      <c r="T92" s="70">
        <f>$H92*Summary_Services!AB89</f>
        <v>0</v>
      </c>
      <c r="U92" s="70">
        <f>$H92*Summary_Services!AC89</f>
        <v>0</v>
      </c>
      <c r="V92" s="267">
        <f>$H92*Summary_Services!AD89</f>
        <v>0</v>
      </c>
    </row>
    <row r="93" spans="1:22">
      <c r="A93" s="1">
        <v>85</v>
      </c>
      <c r="B93" s="412">
        <f>Summary_Services!B90</f>
        <v>0</v>
      </c>
      <c r="C93" s="412">
        <f>Summary_Services!C90</f>
        <v>0</v>
      </c>
      <c r="D93" s="412">
        <f>Summary_Services!F90</f>
        <v>0</v>
      </c>
      <c r="E93" s="526"/>
      <c r="F93" s="526"/>
      <c r="G93" s="526">
        <f t="shared" si="3"/>
        <v>0</v>
      </c>
      <c r="H93" s="527"/>
      <c r="J93" s="530">
        <f>$G93*Summary_Services!Y90</f>
        <v>0</v>
      </c>
      <c r="K93" s="70">
        <f>$G93*Summary_Services!Z90</f>
        <v>0</v>
      </c>
      <c r="L93" s="70">
        <f>$G93*Summary_Services!AA90</f>
        <v>0</v>
      </c>
      <c r="M93" s="70">
        <f>$G93*Summary_Services!AB90</f>
        <v>0</v>
      </c>
      <c r="N93" s="70">
        <f>$G93*Summary_Services!AC90</f>
        <v>0</v>
      </c>
      <c r="O93" s="267">
        <f>$G93*Summary_Services!AD90</f>
        <v>0</v>
      </c>
      <c r="Q93" s="530">
        <f>$H93*Summary_Services!Y90</f>
        <v>0</v>
      </c>
      <c r="R93" s="70">
        <f>$H93*Summary_Services!Z90</f>
        <v>0</v>
      </c>
      <c r="S93" s="70">
        <f>$H93*Summary_Services!AA90</f>
        <v>0</v>
      </c>
      <c r="T93" s="70">
        <f>$H93*Summary_Services!AB90</f>
        <v>0</v>
      </c>
      <c r="U93" s="70">
        <f>$H93*Summary_Services!AC90</f>
        <v>0</v>
      </c>
      <c r="V93" s="267">
        <f>$H93*Summary_Services!AD90</f>
        <v>0</v>
      </c>
    </row>
    <row r="94" spans="1:22">
      <c r="A94" s="1">
        <v>86</v>
      </c>
      <c r="B94" s="412">
        <f>Summary_Services!B91</f>
        <v>0</v>
      </c>
      <c r="C94" s="412">
        <f>Summary_Services!C91</f>
        <v>0</v>
      </c>
      <c r="D94" s="412">
        <f>Summary_Services!F91</f>
        <v>0</v>
      </c>
      <c r="E94" s="526"/>
      <c r="F94" s="526"/>
      <c r="G94" s="526">
        <f t="shared" si="3"/>
        <v>0</v>
      </c>
      <c r="H94" s="527"/>
      <c r="J94" s="530">
        <f>$G94*Summary_Services!Y91</f>
        <v>0</v>
      </c>
      <c r="K94" s="70">
        <f>$G94*Summary_Services!Z91</f>
        <v>0</v>
      </c>
      <c r="L94" s="70">
        <f>$G94*Summary_Services!AA91</f>
        <v>0</v>
      </c>
      <c r="M94" s="70">
        <f>$G94*Summary_Services!AB91</f>
        <v>0</v>
      </c>
      <c r="N94" s="70">
        <f>$G94*Summary_Services!AC91</f>
        <v>0</v>
      </c>
      <c r="O94" s="267">
        <f>$G94*Summary_Services!AD91</f>
        <v>0</v>
      </c>
      <c r="Q94" s="530">
        <f>$H94*Summary_Services!Y91</f>
        <v>0</v>
      </c>
      <c r="R94" s="70">
        <f>$H94*Summary_Services!Z91</f>
        <v>0</v>
      </c>
      <c r="S94" s="70">
        <f>$H94*Summary_Services!AA91</f>
        <v>0</v>
      </c>
      <c r="T94" s="70">
        <f>$H94*Summary_Services!AB91</f>
        <v>0</v>
      </c>
      <c r="U94" s="70">
        <f>$H94*Summary_Services!AC91</f>
        <v>0</v>
      </c>
      <c r="V94" s="267">
        <f>$H94*Summary_Services!AD91</f>
        <v>0</v>
      </c>
    </row>
    <row r="95" spans="1:22">
      <c r="A95" s="1">
        <v>87</v>
      </c>
      <c r="B95" s="412">
        <f>Summary_Services!B92</f>
        <v>0</v>
      </c>
      <c r="C95" s="412">
        <f>Summary_Services!C92</f>
        <v>0</v>
      </c>
      <c r="D95" s="412">
        <f>Summary_Services!F92</f>
        <v>0</v>
      </c>
      <c r="E95" s="526"/>
      <c r="F95" s="526"/>
      <c r="G95" s="526">
        <f t="shared" si="3"/>
        <v>0</v>
      </c>
      <c r="H95" s="527"/>
      <c r="J95" s="530">
        <f>$G95*Summary_Services!Y92</f>
        <v>0</v>
      </c>
      <c r="K95" s="70">
        <f>$G95*Summary_Services!Z92</f>
        <v>0</v>
      </c>
      <c r="L95" s="70">
        <f>$G95*Summary_Services!AA92</f>
        <v>0</v>
      </c>
      <c r="M95" s="70">
        <f>$G95*Summary_Services!AB92</f>
        <v>0</v>
      </c>
      <c r="N95" s="70">
        <f>$G95*Summary_Services!AC92</f>
        <v>0</v>
      </c>
      <c r="O95" s="267">
        <f>$G95*Summary_Services!AD92</f>
        <v>0</v>
      </c>
      <c r="Q95" s="530">
        <f>$H95*Summary_Services!Y92</f>
        <v>0</v>
      </c>
      <c r="R95" s="70">
        <f>$H95*Summary_Services!Z92</f>
        <v>0</v>
      </c>
      <c r="S95" s="70">
        <f>$H95*Summary_Services!AA92</f>
        <v>0</v>
      </c>
      <c r="T95" s="70">
        <f>$H95*Summary_Services!AB92</f>
        <v>0</v>
      </c>
      <c r="U95" s="70">
        <f>$H95*Summary_Services!AC92</f>
        <v>0</v>
      </c>
      <c r="V95" s="267">
        <f>$H95*Summary_Services!AD92</f>
        <v>0</v>
      </c>
    </row>
    <row r="96" spans="1:22">
      <c r="A96" s="1">
        <v>88</v>
      </c>
      <c r="B96" s="412">
        <f>Summary_Services!B93</f>
        <v>0</v>
      </c>
      <c r="C96" s="412">
        <f>Summary_Services!C93</f>
        <v>0</v>
      </c>
      <c r="D96" s="412">
        <f>Summary_Services!F93</f>
        <v>0</v>
      </c>
      <c r="E96" s="526"/>
      <c r="F96" s="526"/>
      <c r="G96" s="526">
        <f t="shared" si="3"/>
        <v>0</v>
      </c>
      <c r="H96" s="527"/>
      <c r="J96" s="530">
        <f>$G96*Summary_Services!Y93</f>
        <v>0</v>
      </c>
      <c r="K96" s="70">
        <f>$G96*Summary_Services!Z93</f>
        <v>0</v>
      </c>
      <c r="L96" s="70">
        <f>$G96*Summary_Services!AA93</f>
        <v>0</v>
      </c>
      <c r="M96" s="70">
        <f>$G96*Summary_Services!AB93</f>
        <v>0</v>
      </c>
      <c r="N96" s="70">
        <f>$G96*Summary_Services!AC93</f>
        <v>0</v>
      </c>
      <c r="O96" s="267">
        <f>$G96*Summary_Services!AD93</f>
        <v>0</v>
      </c>
      <c r="Q96" s="530">
        <f>$H96*Summary_Services!Y93</f>
        <v>0</v>
      </c>
      <c r="R96" s="70">
        <f>$H96*Summary_Services!Z93</f>
        <v>0</v>
      </c>
      <c r="S96" s="70">
        <f>$H96*Summary_Services!AA93</f>
        <v>0</v>
      </c>
      <c r="T96" s="70">
        <f>$H96*Summary_Services!AB93</f>
        <v>0</v>
      </c>
      <c r="U96" s="70">
        <f>$H96*Summary_Services!AC93</f>
        <v>0</v>
      </c>
      <c r="V96" s="267">
        <f>$H96*Summary_Services!AD93</f>
        <v>0</v>
      </c>
    </row>
    <row r="97" spans="1:22">
      <c r="A97" s="1">
        <v>89</v>
      </c>
      <c r="B97" s="412">
        <f>Summary_Services!B94</f>
        <v>0</v>
      </c>
      <c r="C97" s="412">
        <f>Summary_Services!C94</f>
        <v>0</v>
      </c>
      <c r="D97" s="412">
        <f>Summary_Services!F94</f>
        <v>0</v>
      </c>
      <c r="E97" s="526"/>
      <c r="F97" s="526"/>
      <c r="G97" s="526">
        <f t="shared" si="3"/>
        <v>0</v>
      </c>
      <c r="H97" s="527"/>
      <c r="J97" s="530">
        <f>$G97*Summary_Services!Y94</f>
        <v>0</v>
      </c>
      <c r="K97" s="70">
        <f>$G97*Summary_Services!Z94</f>
        <v>0</v>
      </c>
      <c r="L97" s="70">
        <f>$G97*Summary_Services!AA94</f>
        <v>0</v>
      </c>
      <c r="M97" s="70">
        <f>$G97*Summary_Services!AB94</f>
        <v>0</v>
      </c>
      <c r="N97" s="70">
        <f>$G97*Summary_Services!AC94</f>
        <v>0</v>
      </c>
      <c r="O97" s="267">
        <f>$G97*Summary_Services!AD94</f>
        <v>0</v>
      </c>
      <c r="Q97" s="530">
        <f>$H97*Summary_Services!Y94</f>
        <v>0</v>
      </c>
      <c r="R97" s="70">
        <f>$H97*Summary_Services!Z94</f>
        <v>0</v>
      </c>
      <c r="S97" s="70">
        <f>$H97*Summary_Services!AA94</f>
        <v>0</v>
      </c>
      <c r="T97" s="70">
        <f>$H97*Summary_Services!AB94</f>
        <v>0</v>
      </c>
      <c r="U97" s="70">
        <f>$H97*Summary_Services!AC94</f>
        <v>0</v>
      </c>
      <c r="V97" s="267">
        <f>$H97*Summary_Services!AD94</f>
        <v>0</v>
      </c>
    </row>
    <row r="98" spans="1:22">
      <c r="A98" s="1">
        <v>90</v>
      </c>
      <c r="B98" s="412">
        <f>Summary_Services!B95</f>
        <v>0</v>
      </c>
      <c r="C98" s="412">
        <f>Summary_Services!C95</f>
        <v>0</v>
      </c>
      <c r="D98" s="412">
        <f>Summary_Services!F95</f>
        <v>0</v>
      </c>
      <c r="E98" s="526"/>
      <c r="F98" s="526"/>
      <c r="G98" s="526">
        <f t="shared" si="3"/>
        <v>0</v>
      </c>
      <c r="H98" s="527"/>
      <c r="J98" s="530">
        <f>$G98*Summary_Services!Y95</f>
        <v>0</v>
      </c>
      <c r="K98" s="70">
        <f>$G98*Summary_Services!Z95</f>
        <v>0</v>
      </c>
      <c r="L98" s="70">
        <f>$G98*Summary_Services!AA95</f>
        <v>0</v>
      </c>
      <c r="M98" s="70">
        <f>$G98*Summary_Services!AB95</f>
        <v>0</v>
      </c>
      <c r="N98" s="70">
        <f>$G98*Summary_Services!AC95</f>
        <v>0</v>
      </c>
      <c r="O98" s="267">
        <f>$G98*Summary_Services!AD95</f>
        <v>0</v>
      </c>
      <c r="Q98" s="530">
        <f>$H98*Summary_Services!Y95</f>
        <v>0</v>
      </c>
      <c r="R98" s="70">
        <f>$H98*Summary_Services!Z95</f>
        <v>0</v>
      </c>
      <c r="S98" s="70">
        <f>$H98*Summary_Services!AA95</f>
        <v>0</v>
      </c>
      <c r="T98" s="70">
        <f>$H98*Summary_Services!AB95</f>
        <v>0</v>
      </c>
      <c r="U98" s="70">
        <f>$H98*Summary_Services!AC95</f>
        <v>0</v>
      </c>
      <c r="V98" s="267">
        <f>$H98*Summary_Services!AD95</f>
        <v>0</v>
      </c>
    </row>
    <row r="99" spans="1:22">
      <c r="A99" s="1">
        <v>91</v>
      </c>
      <c r="B99" s="412">
        <f>Summary_Services!B96</f>
        <v>0</v>
      </c>
      <c r="C99" s="412">
        <f>Summary_Services!C96</f>
        <v>0</v>
      </c>
      <c r="D99" s="412">
        <f>Summary_Services!F96</f>
        <v>0</v>
      </c>
      <c r="E99" s="526"/>
      <c r="F99" s="526"/>
      <c r="G99" s="526">
        <f t="shared" si="3"/>
        <v>0</v>
      </c>
      <c r="H99" s="527"/>
      <c r="J99" s="530">
        <f>$G99*Summary_Services!Y96</f>
        <v>0</v>
      </c>
      <c r="K99" s="70">
        <f>$G99*Summary_Services!Z96</f>
        <v>0</v>
      </c>
      <c r="L99" s="70">
        <f>$G99*Summary_Services!AA96</f>
        <v>0</v>
      </c>
      <c r="M99" s="70">
        <f>$G99*Summary_Services!AB96</f>
        <v>0</v>
      </c>
      <c r="N99" s="70">
        <f>$G99*Summary_Services!AC96</f>
        <v>0</v>
      </c>
      <c r="O99" s="267">
        <f>$G99*Summary_Services!AD96</f>
        <v>0</v>
      </c>
      <c r="Q99" s="530">
        <f>$H99*Summary_Services!Y96</f>
        <v>0</v>
      </c>
      <c r="R99" s="70">
        <f>$H99*Summary_Services!Z96</f>
        <v>0</v>
      </c>
      <c r="S99" s="70">
        <f>$H99*Summary_Services!AA96</f>
        <v>0</v>
      </c>
      <c r="T99" s="70">
        <f>$H99*Summary_Services!AB96</f>
        <v>0</v>
      </c>
      <c r="U99" s="70">
        <f>$H99*Summary_Services!AC96</f>
        <v>0</v>
      </c>
      <c r="V99" s="267">
        <f>$H99*Summary_Services!AD96</f>
        <v>0</v>
      </c>
    </row>
    <row r="100" spans="1:22">
      <c r="A100" s="1">
        <v>92</v>
      </c>
      <c r="B100" s="412">
        <f>Summary_Services!B97</f>
        <v>0</v>
      </c>
      <c r="C100" s="412">
        <f>Summary_Services!C97</f>
        <v>0</v>
      </c>
      <c r="D100" s="412">
        <f>Summary_Services!F97</f>
        <v>0</v>
      </c>
      <c r="E100" s="526"/>
      <c r="F100" s="526"/>
      <c r="G100" s="526">
        <f t="shared" si="3"/>
        <v>0</v>
      </c>
      <c r="H100" s="527"/>
      <c r="J100" s="530">
        <f>$G100*Summary_Services!Y97</f>
        <v>0</v>
      </c>
      <c r="K100" s="70">
        <f>$G100*Summary_Services!Z97</f>
        <v>0</v>
      </c>
      <c r="L100" s="70">
        <f>$G100*Summary_Services!AA97</f>
        <v>0</v>
      </c>
      <c r="M100" s="70">
        <f>$G100*Summary_Services!AB97</f>
        <v>0</v>
      </c>
      <c r="N100" s="70">
        <f>$G100*Summary_Services!AC97</f>
        <v>0</v>
      </c>
      <c r="O100" s="267">
        <f>$G100*Summary_Services!AD97</f>
        <v>0</v>
      </c>
      <c r="Q100" s="530">
        <f>$H100*Summary_Services!Y97</f>
        <v>0</v>
      </c>
      <c r="R100" s="70">
        <f>$H100*Summary_Services!Z97</f>
        <v>0</v>
      </c>
      <c r="S100" s="70">
        <f>$H100*Summary_Services!AA97</f>
        <v>0</v>
      </c>
      <c r="T100" s="70">
        <f>$H100*Summary_Services!AB97</f>
        <v>0</v>
      </c>
      <c r="U100" s="70">
        <f>$H100*Summary_Services!AC97</f>
        <v>0</v>
      </c>
      <c r="V100" s="267">
        <f>$H100*Summary_Services!AD97</f>
        <v>0</v>
      </c>
    </row>
    <row r="101" spans="1:22">
      <c r="A101" s="1">
        <v>93</v>
      </c>
      <c r="B101" s="412">
        <f>Summary_Services!B98</f>
        <v>0</v>
      </c>
      <c r="C101" s="412">
        <f>Summary_Services!C98</f>
        <v>0</v>
      </c>
      <c r="D101" s="412">
        <f>Summary_Services!F98</f>
        <v>0</v>
      </c>
      <c r="E101" s="526"/>
      <c r="F101" s="526"/>
      <c r="G101" s="526">
        <f t="shared" si="3"/>
        <v>0</v>
      </c>
      <c r="H101" s="527"/>
      <c r="J101" s="530">
        <f>$G101*Summary_Services!Y98</f>
        <v>0</v>
      </c>
      <c r="K101" s="70">
        <f>$G101*Summary_Services!Z98</f>
        <v>0</v>
      </c>
      <c r="L101" s="70">
        <f>$G101*Summary_Services!AA98</f>
        <v>0</v>
      </c>
      <c r="M101" s="70">
        <f>$G101*Summary_Services!AB98</f>
        <v>0</v>
      </c>
      <c r="N101" s="70">
        <f>$G101*Summary_Services!AC98</f>
        <v>0</v>
      </c>
      <c r="O101" s="267">
        <f>$G101*Summary_Services!AD98</f>
        <v>0</v>
      </c>
      <c r="Q101" s="530">
        <f>$H101*Summary_Services!Y98</f>
        <v>0</v>
      </c>
      <c r="R101" s="70">
        <f>$H101*Summary_Services!Z98</f>
        <v>0</v>
      </c>
      <c r="S101" s="70">
        <f>$H101*Summary_Services!AA98</f>
        <v>0</v>
      </c>
      <c r="T101" s="70">
        <f>$H101*Summary_Services!AB98</f>
        <v>0</v>
      </c>
      <c r="U101" s="70">
        <f>$H101*Summary_Services!AC98</f>
        <v>0</v>
      </c>
      <c r="V101" s="267">
        <f>$H101*Summary_Services!AD98</f>
        <v>0</v>
      </c>
    </row>
    <row r="102" spans="1:22">
      <c r="A102" s="1">
        <v>94</v>
      </c>
      <c r="B102" s="412">
        <f>Summary_Services!B99</f>
        <v>0</v>
      </c>
      <c r="C102" s="412">
        <f>Summary_Services!C99</f>
        <v>0</v>
      </c>
      <c r="D102" s="412">
        <f>Summary_Services!F99</f>
        <v>0</v>
      </c>
      <c r="E102" s="526"/>
      <c r="F102" s="526"/>
      <c r="G102" s="526">
        <f t="shared" si="3"/>
        <v>0</v>
      </c>
      <c r="H102" s="527"/>
      <c r="J102" s="530">
        <f>$G102*Summary_Services!Y99</f>
        <v>0</v>
      </c>
      <c r="K102" s="70">
        <f>$G102*Summary_Services!Z99</f>
        <v>0</v>
      </c>
      <c r="L102" s="70">
        <f>$G102*Summary_Services!AA99</f>
        <v>0</v>
      </c>
      <c r="M102" s="70">
        <f>$G102*Summary_Services!AB99</f>
        <v>0</v>
      </c>
      <c r="N102" s="70">
        <f>$G102*Summary_Services!AC99</f>
        <v>0</v>
      </c>
      <c r="O102" s="267">
        <f>$G102*Summary_Services!AD99</f>
        <v>0</v>
      </c>
      <c r="Q102" s="530">
        <f>$H102*Summary_Services!Y99</f>
        <v>0</v>
      </c>
      <c r="R102" s="70">
        <f>$H102*Summary_Services!Z99</f>
        <v>0</v>
      </c>
      <c r="S102" s="70">
        <f>$H102*Summary_Services!AA99</f>
        <v>0</v>
      </c>
      <c r="T102" s="70">
        <f>$H102*Summary_Services!AB99</f>
        <v>0</v>
      </c>
      <c r="U102" s="70">
        <f>$H102*Summary_Services!AC99</f>
        <v>0</v>
      </c>
      <c r="V102" s="267">
        <f>$H102*Summary_Services!AD99</f>
        <v>0</v>
      </c>
    </row>
    <row r="103" spans="1:22">
      <c r="A103" s="1">
        <v>95</v>
      </c>
      <c r="B103" s="412">
        <f>Summary_Services!B100</f>
        <v>0</v>
      </c>
      <c r="C103" s="412">
        <f>Summary_Services!C100</f>
        <v>0</v>
      </c>
      <c r="D103" s="412">
        <f>Summary_Services!F100</f>
        <v>0</v>
      </c>
      <c r="E103" s="526"/>
      <c r="F103" s="526"/>
      <c r="G103" s="526">
        <f t="shared" si="3"/>
        <v>0</v>
      </c>
      <c r="H103" s="527"/>
      <c r="J103" s="530">
        <f>$G103*Summary_Services!Y100</f>
        <v>0</v>
      </c>
      <c r="K103" s="70">
        <f>$G103*Summary_Services!Z100</f>
        <v>0</v>
      </c>
      <c r="L103" s="70">
        <f>$G103*Summary_Services!AA100</f>
        <v>0</v>
      </c>
      <c r="M103" s="70">
        <f>$G103*Summary_Services!AB100</f>
        <v>0</v>
      </c>
      <c r="N103" s="70">
        <f>$G103*Summary_Services!AC100</f>
        <v>0</v>
      </c>
      <c r="O103" s="267">
        <f>$G103*Summary_Services!AD100</f>
        <v>0</v>
      </c>
      <c r="Q103" s="530">
        <f>$H103*Summary_Services!Y100</f>
        <v>0</v>
      </c>
      <c r="R103" s="70">
        <f>$H103*Summary_Services!Z100</f>
        <v>0</v>
      </c>
      <c r="S103" s="70">
        <f>$H103*Summary_Services!AA100</f>
        <v>0</v>
      </c>
      <c r="T103" s="70">
        <f>$H103*Summary_Services!AB100</f>
        <v>0</v>
      </c>
      <c r="U103" s="70">
        <f>$H103*Summary_Services!AC100</f>
        <v>0</v>
      </c>
      <c r="V103" s="267">
        <f>$H103*Summary_Services!AD100</f>
        <v>0</v>
      </c>
    </row>
    <row r="104" spans="1:22">
      <c r="A104" s="1">
        <v>96</v>
      </c>
      <c r="B104" s="412">
        <f>Summary_Services!B101</f>
        <v>0</v>
      </c>
      <c r="C104" s="412">
        <f>Summary_Services!C101</f>
        <v>0</v>
      </c>
      <c r="D104" s="412">
        <f>Summary_Services!F101</f>
        <v>0</v>
      </c>
      <c r="E104" s="526"/>
      <c r="F104" s="526"/>
      <c r="G104" s="526">
        <f t="shared" si="3"/>
        <v>0</v>
      </c>
      <c r="H104" s="527"/>
      <c r="J104" s="530">
        <f>$G104*Summary_Services!Y101</f>
        <v>0</v>
      </c>
      <c r="K104" s="70">
        <f>$G104*Summary_Services!Z101</f>
        <v>0</v>
      </c>
      <c r="L104" s="70">
        <f>$G104*Summary_Services!AA101</f>
        <v>0</v>
      </c>
      <c r="M104" s="70">
        <f>$G104*Summary_Services!AB101</f>
        <v>0</v>
      </c>
      <c r="N104" s="70">
        <f>$G104*Summary_Services!AC101</f>
        <v>0</v>
      </c>
      <c r="O104" s="267">
        <f>$G104*Summary_Services!AD101</f>
        <v>0</v>
      </c>
      <c r="Q104" s="530">
        <f>$H104*Summary_Services!Y101</f>
        <v>0</v>
      </c>
      <c r="R104" s="70">
        <f>$H104*Summary_Services!Z101</f>
        <v>0</v>
      </c>
      <c r="S104" s="70">
        <f>$H104*Summary_Services!AA101</f>
        <v>0</v>
      </c>
      <c r="T104" s="70">
        <f>$H104*Summary_Services!AB101</f>
        <v>0</v>
      </c>
      <c r="U104" s="70">
        <f>$H104*Summary_Services!AC101</f>
        <v>0</v>
      </c>
      <c r="V104" s="267">
        <f>$H104*Summary_Services!AD101</f>
        <v>0</v>
      </c>
    </row>
    <row r="105" spans="1:22">
      <c r="A105" s="1">
        <v>97</v>
      </c>
      <c r="B105" s="412">
        <f>Summary_Services!B102</f>
        <v>0</v>
      </c>
      <c r="C105" s="412">
        <f>Summary_Services!C102</f>
        <v>0</v>
      </c>
      <c r="D105" s="412">
        <f>Summary_Services!F102</f>
        <v>0</v>
      </c>
      <c r="E105" s="526"/>
      <c r="F105" s="526"/>
      <c r="G105" s="526">
        <f t="shared" si="3"/>
        <v>0</v>
      </c>
      <c r="H105" s="527"/>
      <c r="J105" s="530">
        <f>$G105*Summary_Services!Y102</f>
        <v>0</v>
      </c>
      <c r="K105" s="70">
        <f>$G105*Summary_Services!Z102</f>
        <v>0</v>
      </c>
      <c r="L105" s="70">
        <f>$G105*Summary_Services!AA102</f>
        <v>0</v>
      </c>
      <c r="M105" s="70">
        <f>$G105*Summary_Services!AB102</f>
        <v>0</v>
      </c>
      <c r="N105" s="70">
        <f>$G105*Summary_Services!AC102</f>
        <v>0</v>
      </c>
      <c r="O105" s="267">
        <f>$G105*Summary_Services!AD102</f>
        <v>0</v>
      </c>
      <c r="Q105" s="530">
        <f>$H105*Summary_Services!Y102</f>
        <v>0</v>
      </c>
      <c r="R105" s="70">
        <f>$H105*Summary_Services!Z102</f>
        <v>0</v>
      </c>
      <c r="S105" s="70">
        <f>$H105*Summary_Services!AA102</f>
        <v>0</v>
      </c>
      <c r="T105" s="70">
        <f>$H105*Summary_Services!AB102</f>
        <v>0</v>
      </c>
      <c r="U105" s="70">
        <f>$H105*Summary_Services!AC102</f>
        <v>0</v>
      </c>
      <c r="V105" s="267">
        <f>$H105*Summary_Services!AD102</f>
        <v>0</v>
      </c>
    </row>
    <row r="106" spans="1:22">
      <c r="A106" s="1">
        <v>98</v>
      </c>
      <c r="B106" s="412">
        <f>Summary_Services!B103</f>
        <v>0</v>
      </c>
      <c r="C106" s="412">
        <f>Summary_Services!C103</f>
        <v>0</v>
      </c>
      <c r="D106" s="412">
        <f>Summary_Services!F103</f>
        <v>0</v>
      </c>
      <c r="E106" s="526"/>
      <c r="F106" s="526"/>
      <c r="G106" s="526">
        <f t="shared" si="3"/>
        <v>0</v>
      </c>
      <c r="H106" s="527"/>
      <c r="J106" s="530">
        <f>$G106*Summary_Services!Y103</f>
        <v>0</v>
      </c>
      <c r="K106" s="70">
        <f>$G106*Summary_Services!Z103</f>
        <v>0</v>
      </c>
      <c r="L106" s="70">
        <f>$G106*Summary_Services!AA103</f>
        <v>0</v>
      </c>
      <c r="M106" s="70">
        <f>$G106*Summary_Services!AB103</f>
        <v>0</v>
      </c>
      <c r="N106" s="70">
        <f>$G106*Summary_Services!AC103</f>
        <v>0</v>
      </c>
      <c r="O106" s="267">
        <f>$G106*Summary_Services!AD103</f>
        <v>0</v>
      </c>
      <c r="Q106" s="530">
        <f>$H106*Summary_Services!Y103</f>
        <v>0</v>
      </c>
      <c r="R106" s="70">
        <f>$H106*Summary_Services!Z103</f>
        <v>0</v>
      </c>
      <c r="S106" s="70">
        <f>$H106*Summary_Services!AA103</f>
        <v>0</v>
      </c>
      <c r="T106" s="70">
        <f>$H106*Summary_Services!AB103</f>
        <v>0</v>
      </c>
      <c r="U106" s="70">
        <f>$H106*Summary_Services!AC103</f>
        <v>0</v>
      </c>
      <c r="V106" s="267">
        <f>$H106*Summary_Services!AD103</f>
        <v>0</v>
      </c>
    </row>
    <row r="107" spans="1:22">
      <c r="A107" s="1">
        <v>99</v>
      </c>
      <c r="B107" s="412">
        <f>Summary_Services!B104</f>
        <v>0</v>
      </c>
      <c r="C107" s="412">
        <f>Summary_Services!C104</f>
        <v>0</v>
      </c>
      <c r="D107" s="412">
        <f>Summary_Services!F104</f>
        <v>0</v>
      </c>
      <c r="E107" s="526"/>
      <c r="F107" s="526"/>
      <c r="G107" s="526">
        <f t="shared" si="3"/>
        <v>0</v>
      </c>
      <c r="H107" s="527"/>
      <c r="J107" s="530">
        <f>$G107*Summary_Services!Y104</f>
        <v>0</v>
      </c>
      <c r="K107" s="70">
        <f>$G107*Summary_Services!Z104</f>
        <v>0</v>
      </c>
      <c r="L107" s="70">
        <f>$G107*Summary_Services!AA104</f>
        <v>0</v>
      </c>
      <c r="M107" s="70">
        <f>$G107*Summary_Services!AB104</f>
        <v>0</v>
      </c>
      <c r="N107" s="70">
        <f>$G107*Summary_Services!AC104</f>
        <v>0</v>
      </c>
      <c r="O107" s="267">
        <f>$G107*Summary_Services!AD104</f>
        <v>0</v>
      </c>
      <c r="Q107" s="530">
        <f>$H107*Summary_Services!Y104</f>
        <v>0</v>
      </c>
      <c r="R107" s="70">
        <f>$H107*Summary_Services!Z104</f>
        <v>0</v>
      </c>
      <c r="S107" s="70">
        <f>$H107*Summary_Services!AA104</f>
        <v>0</v>
      </c>
      <c r="T107" s="70">
        <f>$H107*Summary_Services!AB104</f>
        <v>0</v>
      </c>
      <c r="U107" s="70">
        <f>$H107*Summary_Services!AC104</f>
        <v>0</v>
      </c>
      <c r="V107" s="267">
        <f>$H107*Summary_Services!AD104</f>
        <v>0</v>
      </c>
    </row>
    <row r="108" spans="1:22">
      <c r="A108" s="1">
        <v>100</v>
      </c>
      <c r="B108" s="412">
        <f>Summary_Services!B105</f>
        <v>0</v>
      </c>
      <c r="C108" s="412">
        <f>Summary_Services!C105</f>
        <v>0</v>
      </c>
      <c r="D108" s="412">
        <f>Summary_Services!F105</f>
        <v>0</v>
      </c>
      <c r="E108" s="526"/>
      <c r="F108" s="526"/>
      <c r="G108" s="526">
        <f t="shared" si="3"/>
        <v>0</v>
      </c>
      <c r="H108" s="527"/>
      <c r="J108" s="530">
        <f>$G108*Summary_Services!Y105</f>
        <v>0</v>
      </c>
      <c r="K108" s="70">
        <f>$G108*Summary_Services!Z105</f>
        <v>0</v>
      </c>
      <c r="L108" s="70">
        <f>$G108*Summary_Services!AA105</f>
        <v>0</v>
      </c>
      <c r="M108" s="70">
        <f>$G108*Summary_Services!AB105</f>
        <v>0</v>
      </c>
      <c r="N108" s="70">
        <f>$G108*Summary_Services!AC105</f>
        <v>0</v>
      </c>
      <c r="O108" s="267">
        <f>$G108*Summary_Services!AD105</f>
        <v>0</v>
      </c>
      <c r="Q108" s="530">
        <f>$H108*Summary_Services!Y105</f>
        <v>0</v>
      </c>
      <c r="R108" s="70">
        <f>$H108*Summary_Services!Z105</f>
        <v>0</v>
      </c>
      <c r="S108" s="70">
        <f>$H108*Summary_Services!AA105</f>
        <v>0</v>
      </c>
      <c r="T108" s="70">
        <f>$H108*Summary_Services!AB105</f>
        <v>0</v>
      </c>
      <c r="U108" s="70">
        <f>$H108*Summary_Services!AC105</f>
        <v>0</v>
      </c>
      <c r="V108" s="267">
        <f>$H108*Summary_Services!AD105</f>
        <v>0</v>
      </c>
    </row>
  </sheetData>
  <mergeCells count="2">
    <mergeCell ref="J4:O4"/>
    <mergeCell ref="Q4:V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2060"/>
  </sheetPr>
  <dimension ref="A1:N56"/>
  <sheetViews>
    <sheetView topLeftCell="A7" zoomScale="80" zoomScaleNormal="80" workbookViewId="0">
      <selection activeCell="B28" sqref="B28"/>
    </sheetView>
  </sheetViews>
  <sheetFormatPr baseColWidth="10" defaultColWidth="8.88671875" defaultRowHeight="14.4"/>
  <cols>
    <col min="1" max="1" width="4.21875" customWidth="1"/>
    <col min="2" max="2" width="49.77734375" bestFit="1" customWidth="1"/>
    <col min="3" max="8" width="17.33203125" bestFit="1" customWidth="1"/>
    <col min="10" max="10" width="61.44140625" bestFit="1" customWidth="1"/>
    <col min="11" max="11" width="19.77734375" customWidth="1"/>
    <col min="12" max="12" width="31.21875" customWidth="1"/>
    <col min="13" max="13" width="28" customWidth="1"/>
    <col min="14" max="14" width="19.6640625" customWidth="1"/>
  </cols>
  <sheetData>
    <row r="1" spans="1:12" s="315" customFormat="1" ht="24" customHeight="1">
      <c r="A1" s="314" t="s">
        <v>753</v>
      </c>
      <c r="J1" s="316"/>
      <c r="K1" s="317"/>
      <c r="L1" s="317"/>
    </row>
    <row r="2" spans="1:12" s="51" customFormat="1" ht="18">
      <c r="A2" s="50" t="s">
        <v>598</v>
      </c>
      <c r="J2" s="52"/>
      <c r="K2" s="53"/>
      <c r="L2" s="53"/>
    </row>
    <row r="3" spans="1:12" ht="15" thickBot="1">
      <c r="A3" s="4"/>
    </row>
    <row r="4" spans="1:12" ht="15" thickBot="1">
      <c r="C4" s="10">
        <f>baseline_year</f>
        <v>0</v>
      </c>
      <c r="D4" s="11">
        <f>baseline_year+1</f>
        <v>1</v>
      </c>
      <c r="E4" s="11">
        <f>D4+1</f>
        <v>2</v>
      </c>
      <c r="F4" s="11">
        <f>E4+1</f>
        <v>3</v>
      </c>
      <c r="G4" s="11">
        <f>F4+1</f>
        <v>4</v>
      </c>
      <c r="H4" s="12">
        <f>G4+1</f>
        <v>5</v>
      </c>
    </row>
    <row r="5" spans="1:12">
      <c r="C5" s="64"/>
      <c r="D5" s="65"/>
      <c r="E5" s="65"/>
      <c r="F5" s="65"/>
      <c r="G5" s="65"/>
      <c r="H5" s="65"/>
      <c r="J5" s="66" t="s">
        <v>731</v>
      </c>
      <c r="K5" s="67" t="s">
        <v>755</v>
      </c>
    </row>
    <row r="6" spans="1:12">
      <c r="B6" s="6" t="s">
        <v>732</v>
      </c>
      <c r="C6" s="68">
        <f>national_pop</f>
        <v>0</v>
      </c>
      <c r="D6" s="68">
        <f>C6*(1+C8)</f>
        <v>0</v>
      </c>
      <c r="E6" s="68">
        <f>D6*(1+D8)</f>
        <v>0</v>
      </c>
      <c r="F6" s="68">
        <f>E6*(1+E8)</f>
        <v>0</v>
      </c>
      <c r="G6" s="68">
        <f>F6*(1+F8)</f>
        <v>0</v>
      </c>
      <c r="H6" s="69">
        <f>G6*(1+G8)</f>
        <v>0</v>
      </c>
    </row>
    <row r="7" spans="1:12">
      <c r="B7" s="7" t="str">
        <f>"Total Population of "&amp;selected_country</f>
        <v xml:space="preserve">Total Population of </v>
      </c>
      <c r="C7" s="70">
        <f>national_pop</f>
        <v>0</v>
      </c>
      <c r="D7" s="71">
        <f>IF(scaleup="Y",'Scale-up'!D7,C7*(1+national_pop_growth))</f>
        <v>0</v>
      </c>
      <c r="E7" s="71">
        <f>IF(scaleup="Y",'Scale-up'!E7,D7*(1+national_pop_growth))</f>
        <v>0</v>
      </c>
      <c r="F7" s="71">
        <f>IF(scaleup="Y",'Scale-up'!F7,E7*(1+national_pop_growth))</f>
        <v>0</v>
      </c>
      <c r="G7" s="71">
        <f>IF(scaleup="Y",'Scale-up'!G7,F7*(1+national_pop_growth))</f>
        <v>0</v>
      </c>
      <c r="H7" s="72">
        <f>IF(scaleup="Y",'Scale-up'!H7,G7*(1+national_pop_growth))</f>
        <v>0</v>
      </c>
      <c r="J7" s="24" t="s">
        <v>733</v>
      </c>
      <c r="K7" s="73"/>
    </row>
    <row r="8" spans="1:12">
      <c r="B8" s="8" t="s">
        <v>725</v>
      </c>
      <c r="C8" s="75">
        <f>national_pop_growth</f>
        <v>0</v>
      </c>
      <c r="D8" s="75">
        <f>C8</f>
        <v>0</v>
      </c>
      <c r="E8" s="75">
        <f>D8</f>
        <v>0</v>
      </c>
      <c r="F8" s="75">
        <f>E8</f>
        <v>0</v>
      </c>
      <c r="G8" s="75">
        <f>F8</f>
        <v>0</v>
      </c>
      <c r="H8" s="76">
        <f>G8</f>
        <v>0</v>
      </c>
      <c r="J8" s="38" t="s">
        <v>734</v>
      </c>
      <c r="K8" s="74"/>
    </row>
    <row r="9" spans="1:12">
      <c r="B9" s="8" t="s">
        <v>1393</v>
      </c>
      <c r="C9" s="77">
        <f>target_pop</f>
        <v>0</v>
      </c>
      <c r="D9" s="78">
        <f>'Scale-up'!D8</f>
        <v>0</v>
      </c>
      <c r="E9" s="78">
        <f>'Scale-up'!E8</f>
        <v>0</v>
      </c>
      <c r="F9" s="78">
        <f>'Scale-up'!F8</f>
        <v>0</v>
      </c>
      <c r="G9" s="78">
        <f>'Scale-up'!G8</f>
        <v>0</v>
      </c>
      <c r="H9" s="575">
        <f>'Scale-up'!H8</f>
        <v>0</v>
      </c>
      <c r="J9" s="38" t="s">
        <v>735</v>
      </c>
      <c r="K9" s="74"/>
    </row>
    <row r="10" spans="1:12">
      <c r="B10" s="9" t="s">
        <v>1394</v>
      </c>
      <c r="C10" s="899">
        <f>'Scale-up'!C9</f>
        <v>0</v>
      </c>
      <c r="D10" s="899">
        <f>D9*D7</f>
        <v>0</v>
      </c>
      <c r="E10" s="899">
        <f t="shared" ref="E10:H10" si="0">E9*E7</f>
        <v>0</v>
      </c>
      <c r="F10" s="899">
        <f t="shared" si="0"/>
        <v>0</v>
      </c>
      <c r="G10" s="899">
        <f t="shared" si="0"/>
        <v>0</v>
      </c>
      <c r="H10" s="900">
        <f t="shared" si="0"/>
        <v>0</v>
      </c>
      <c r="J10" s="38" t="s">
        <v>736</v>
      </c>
      <c r="K10" s="74"/>
    </row>
    <row r="11" spans="1:12">
      <c r="J11" s="38" t="s">
        <v>737</v>
      </c>
      <c r="K11" s="74"/>
    </row>
    <row r="12" spans="1:12">
      <c r="B12" s="82">
        <f>level1</f>
        <v>0</v>
      </c>
      <c r="C12" s="293">
        <f>'Scale-up'!C13</f>
        <v>0</v>
      </c>
      <c r="D12" s="83">
        <f>'Scale-up'!D13</f>
        <v>0</v>
      </c>
      <c r="E12" s="83">
        <f>'Scale-up'!E13</f>
        <v>0</v>
      </c>
      <c r="F12" s="83">
        <f>'Scale-up'!F13</f>
        <v>0</v>
      </c>
      <c r="G12" s="83">
        <f>'Scale-up'!G13</f>
        <v>0</v>
      </c>
      <c r="H12" s="84">
        <f>'Scale-up'!H13</f>
        <v>0</v>
      </c>
      <c r="J12" s="38" t="s">
        <v>738</v>
      </c>
      <c r="K12" s="74"/>
    </row>
    <row r="13" spans="1:12">
      <c r="B13" s="85">
        <f>level2</f>
        <v>0</v>
      </c>
      <c r="C13" s="294">
        <f>'Scale-up'!C14</f>
        <v>0</v>
      </c>
      <c r="D13" s="80">
        <f>'Scale-up'!D14</f>
        <v>0</v>
      </c>
      <c r="E13" s="80">
        <f>'Scale-up'!E14</f>
        <v>0</v>
      </c>
      <c r="F13" s="80">
        <f>'Scale-up'!F14</f>
        <v>0</v>
      </c>
      <c r="G13" s="80">
        <f>'Scale-up'!G14</f>
        <v>0</v>
      </c>
      <c r="H13" s="81">
        <f>'Scale-up'!H14</f>
        <v>0</v>
      </c>
      <c r="J13" s="38" t="s">
        <v>739</v>
      </c>
      <c r="K13" s="74"/>
    </row>
    <row r="14" spans="1:12">
      <c r="B14" s="85">
        <f>level3</f>
        <v>0</v>
      </c>
      <c r="C14" s="294">
        <f>'Scale-up'!C15</f>
        <v>0</v>
      </c>
      <c r="D14" s="80">
        <f>'Scale-up'!D15</f>
        <v>0</v>
      </c>
      <c r="E14" s="80">
        <f>'Scale-up'!E15</f>
        <v>0</v>
      </c>
      <c r="F14" s="80">
        <f>'Scale-up'!F15</f>
        <v>0</v>
      </c>
      <c r="G14" s="80">
        <f>'Scale-up'!G15</f>
        <v>0</v>
      </c>
      <c r="H14" s="81">
        <f>'Scale-up'!H15</f>
        <v>0</v>
      </c>
      <c r="J14" s="39" t="s">
        <v>740</v>
      </c>
      <c r="K14" s="79"/>
    </row>
    <row r="15" spans="1:12">
      <c r="B15" s="57">
        <f>level4</f>
        <v>0</v>
      </c>
      <c r="C15" s="295">
        <f>'Scale-up'!C16</f>
        <v>0</v>
      </c>
      <c r="D15" s="86">
        <f>'Scale-up'!D16</f>
        <v>0</v>
      </c>
      <c r="E15" s="86">
        <f>'Scale-up'!E16</f>
        <v>0</v>
      </c>
      <c r="F15" s="86">
        <f>'Scale-up'!F16</f>
        <v>0</v>
      </c>
      <c r="G15" s="86">
        <f>'Scale-up'!G16</f>
        <v>0</v>
      </c>
      <c r="H15" s="87">
        <f>'Scale-up'!H16</f>
        <v>0</v>
      </c>
    </row>
    <row r="16" spans="1:12">
      <c r="B16" s="4" t="s">
        <v>16</v>
      </c>
      <c r="C16" s="516">
        <f>SUM(C12:C15)</f>
        <v>0</v>
      </c>
      <c r="D16" s="516">
        <f t="shared" ref="D16:H16" si="1">SUM(D12:D15)</f>
        <v>0</v>
      </c>
      <c r="E16" s="516">
        <f t="shared" si="1"/>
        <v>0</v>
      </c>
      <c r="F16" s="516">
        <f t="shared" si="1"/>
        <v>0</v>
      </c>
      <c r="G16" s="516">
        <f t="shared" si="1"/>
        <v>0</v>
      </c>
      <c r="H16" s="516">
        <f t="shared" si="1"/>
        <v>0</v>
      </c>
    </row>
    <row r="17" spans="2:14" ht="13.05" customHeight="1" thickBot="1">
      <c r="J17" s="337"/>
      <c r="K17" s="337"/>
      <c r="L17" s="337"/>
      <c r="M17" s="337"/>
    </row>
    <row r="18" spans="2:14" ht="15" thickBot="1">
      <c r="B18" s="18" t="s">
        <v>62</v>
      </c>
      <c r="C18" s="10">
        <f>baseline_year</f>
        <v>0</v>
      </c>
      <c r="D18" s="11">
        <f>baseline_year+1</f>
        <v>1</v>
      </c>
      <c r="E18" s="11">
        <f>D18+1</f>
        <v>2</v>
      </c>
      <c r="F18" s="11">
        <f>E18+1</f>
        <v>3</v>
      </c>
      <c r="G18" s="11">
        <f>F18+1</f>
        <v>4</v>
      </c>
      <c r="H18" s="12">
        <f>G18+1</f>
        <v>5</v>
      </c>
      <c r="J18" s="568"/>
      <c r="K18" s="449"/>
      <c r="L18" s="569"/>
      <c r="M18" s="337"/>
    </row>
    <row r="19" spans="2:14">
      <c r="B19" s="8" t="s">
        <v>16</v>
      </c>
      <c r="C19" s="70">
        <f t="shared" ref="C19:H19" si="2">ROUND(C10,0)</f>
        <v>0</v>
      </c>
      <c r="D19" s="70">
        <f t="shared" si="2"/>
        <v>0</v>
      </c>
      <c r="E19" s="70">
        <f t="shared" si="2"/>
        <v>0</v>
      </c>
      <c r="F19" s="70">
        <f t="shared" si="2"/>
        <v>0</v>
      </c>
      <c r="G19" s="70">
        <f t="shared" si="2"/>
        <v>0</v>
      </c>
      <c r="H19" s="267">
        <f t="shared" si="2"/>
        <v>0</v>
      </c>
      <c r="J19" s="568"/>
      <c r="K19" s="570"/>
      <c r="L19" s="570"/>
      <c r="M19" s="449"/>
    </row>
    <row r="20" spans="2:14">
      <c r="B20" s="8" t="s">
        <v>1369</v>
      </c>
      <c r="C20" s="70">
        <f t="shared" ref="C20:H21" si="3">IF(C$19=0,0,ROUND(($C38/SUM($C$38:$C$39)*C$19),0))</f>
        <v>0</v>
      </c>
      <c r="D20" s="70">
        <f t="shared" si="3"/>
        <v>0</v>
      </c>
      <c r="E20" s="70">
        <f t="shared" si="3"/>
        <v>0</v>
      </c>
      <c r="F20" s="70">
        <f t="shared" si="3"/>
        <v>0</v>
      </c>
      <c r="G20" s="70">
        <f t="shared" si="3"/>
        <v>0</v>
      </c>
      <c r="H20" s="267">
        <f t="shared" si="3"/>
        <v>0</v>
      </c>
      <c r="J20" s="571"/>
      <c r="K20" s="447"/>
      <c r="L20" s="572"/>
      <c r="M20" s="450"/>
    </row>
    <row r="21" spans="2:14">
      <c r="B21" s="8" t="s">
        <v>1370</v>
      </c>
      <c r="C21" s="70">
        <f t="shared" si="3"/>
        <v>0</v>
      </c>
      <c r="D21" s="70">
        <f t="shared" si="3"/>
        <v>0</v>
      </c>
      <c r="E21" s="70">
        <f t="shared" si="3"/>
        <v>0</v>
      </c>
      <c r="F21" s="70">
        <f t="shared" si="3"/>
        <v>0</v>
      </c>
      <c r="G21" s="70">
        <f t="shared" si="3"/>
        <v>0</v>
      </c>
      <c r="H21" s="267">
        <f t="shared" si="3"/>
        <v>0</v>
      </c>
      <c r="J21" s="573"/>
      <c r="K21" s="447"/>
      <c r="L21" s="572"/>
      <c r="M21" s="337"/>
    </row>
    <row r="22" spans="2:14">
      <c r="B22" s="8" t="s">
        <v>735</v>
      </c>
      <c r="C22" s="70">
        <f t="shared" ref="C22:H22" si="4">ROUND((($C$41+$C$49)*C10),0)/2</f>
        <v>0</v>
      </c>
      <c r="D22" s="70">
        <f t="shared" si="4"/>
        <v>0</v>
      </c>
      <c r="E22" s="70">
        <f t="shared" si="4"/>
        <v>0</v>
      </c>
      <c r="F22" s="70">
        <f t="shared" si="4"/>
        <v>0</v>
      </c>
      <c r="G22" s="70">
        <f t="shared" si="4"/>
        <v>0</v>
      </c>
      <c r="H22" s="267">
        <f t="shared" si="4"/>
        <v>0</v>
      </c>
      <c r="J22" s="574"/>
      <c r="K22" s="447"/>
      <c r="L22" s="572"/>
      <c r="M22" s="337"/>
    </row>
    <row r="23" spans="2:14">
      <c r="B23" s="8" t="s">
        <v>1371</v>
      </c>
      <c r="C23" s="70">
        <f t="shared" ref="C23:H23" si="5">ROUND((($C$42+$C$50)*C10),0)</f>
        <v>0</v>
      </c>
      <c r="D23" s="70">
        <f t="shared" si="5"/>
        <v>0</v>
      </c>
      <c r="E23" s="70">
        <f t="shared" si="5"/>
        <v>0</v>
      </c>
      <c r="F23" s="70">
        <f t="shared" si="5"/>
        <v>0</v>
      </c>
      <c r="G23" s="70">
        <f t="shared" si="5"/>
        <v>0</v>
      </c>
      <c r="H23" s="267">
        <f t="shared" si="5"/>
        <v>0</v>
      </c>
      <c r="K23" s="448"/>
      <c r="L23" s="448"/>
      <c r="M23" s="337"/>
    </row>
    <row r="24" spans="2:14">
      <c r="B24" s="8" t="s">
        <v>1372</v>
      </c>
      <c r="C24" s="70">
        <f t="shared" ref="C24:H24" si="6">ROUND((($C$43+$C$51)*C10),0)</f>
        <v>0</v>
      </c>
      <c r="D24" s="70">
        <f t="shared" si="6"/>
        <v>0</v>
      </c>
      <c r="E24" s="70">
        <f t="shared" si="6"/>
        <v>0</v>
      </c>
      <c r="F24" s="70">
        <f t="shared" si="6"/>
        <v>0</v>
      </c>
      <c r="G24" s="70">
        <f t="shared" si="6"/>
        <v>0</v>
      </c>
      <c r="H24" s="267">
        <f t="shared" si="6"/>
        <v>0</v>
      </c>
      <c r="K24" s="518"/>
      <c r="M24" s="451"/>
      <c r="N24" s="446"/>
    </row>
    <row r="25" spans="2:14">
      <c r="B25" s="8" t="s">
        <v>1136</v>
      </c>
      <c r="C25" s="70">
        <f>C26-C22</f>
        <v>0</v>
      </c>
      <c r="D25" s="70">
        <f t="shared" ref="D25:H25" si="7">D26-D22</f>
        <v>0</v>
      </c>
      <c r="E25" s="70">
        <f t="shared" si="7"/>
        <v>0</v>
      </c>
      <c r="F25" s="70">
        <f t="shared" si="7"/>
        <v>0</v>
      </c>
      <c r="G25" s="70">
        <f t="shared" si="7"/>
        <v>0</v>
      </c>
      <c r="H25" s="267">
        <f t="shared" si="7"/>
        <v>0</v>
      </c>
      <c r="M25" s="451"/>
      <c r="N25" s="446"/>
    </row>
    <row r="26" spans="2:14">
      <c r="B26" s="8" t="s">
        <v>736</v>
      </c>
      <c r="C26" s="70">
        <f t="shared" ref="C26:H26" si="8">ROUND((($C$52+$C$44)*C10),0)</f>
        <v>0</v>
      </c>
      <c r="D26" s="70">
        <f t="shared" si="8"/>
        <v>0</v>
      </c>
      <c r="E26" s="70">
        <f t="shared" si="8"/>
        <v>0</v>
      </c>
      <c r="F26" s="70">
        <f t="shared" si="8"/>
        <v>0</v>
      </c>
      <c r="G26" s="70">
        <f t="shared" si="8"/>
        <v>0</v>
      </c>
      <c r="H26" s="267">
        <f t="shared" si="8"/>
        <v>0</v>
      </c>
      <c r="M26" s="451"/>
      <c r="N26" s="446"/>
    </row>
    <row r="27" spans="2:14">
      <c r="B27" s="8" t="s">
        <v>1137</v>
      </c>
      <c r="C27" s="70">
        <f t="shared" ref="C27:H27" si="9">ROUND((($C$44+$C$45+$C$52+$C$53)*C10),0)</f>
        <v>0</v>
      </c>
      <c r="D27" s="70">
        <f t="shared" si="9"/>
        <v>0</v>
      </c>
      <c r="E27" s="70">
        <f t="shared" si="9"/>
        <v>0</v>
      </c>
      <c r="F27" s="70">
        <f t="shared" si="9"/>
        <v>0</v>
      </c>
      <c r="G27" s="70">
        <f t="shared" si="9"/>
        <v>0</v>
      </c>
      <c r="H27" s="267">
        <f t="shared" si="9"/>
        <v>0</v>
      </c>
      <c r="M27" s="451"/>
      <c r="N27" s="446"/>
    </row>
    <row r="28" spans="2:14">
      <c r="B28" s="8" t="s">
        <v>1138</v>
      </c>
      <c r="C28" s="70">
        <f t="shared" ref="C28:H28" si="10">ROUND((($C$45+$C$46+$C$53+$C$54)*0.5)*C10,0)</f>
        <v>0</v>
      </c>
      <c r="D28" s="70">
        <f t="shared" si="10"/>
        <v>0</v>
      </c>
      <c r="E28" s="70">
        <f t="shared" si="10"/>
        <v>0</v>
      </c>
      <c r="F28" s="70">
        <f t="shared" si="10"/>
        <v>0</v>
      </c>
      <c r="G28" s="70">
        <f t="shared" si="10"/>
        <v>0</v>
      </c>
      <c r="H28" s="267">
        <f t="shared" si="10"/>
        <v>0</v>
      </c>
      <c r="M28" s="451"/>
      <c r="N28" s="446"/>
    </row>
    <row r="29" spans="2:14">
      <c r="B29" s="8" t="s">
        <v>1139</v>
      </c>
      <c r="C29" s="70">
        <f t="shared" ref="C29:H29" si="11">ROUND((($C$46+$C$54)*C10),0)</f>
        <v>0</v>
      </c>
      <c r="D29" s="70">
        <f t="shared" si="11"/>
        <v>0</v>
      </c>
      <c r="E29" s="70">
        <f t="shared" si="11"/>
        <v>0</v>
      </c>
      <c r="F29" s="70">
        <f t="shared" si="11"/>
        <v>0</v>
      </c>
      <c r="G29" s="70">
        <f t="shared" si="11"/>
        <v>0</v>
      </c>
      <c r="H29" s="267">
        <f t="shared" si="11"/>
        <v>0</v>
      </c>
      <c r="M29" s="451"/>
      <c r="N29" s="446"/>
    </row>
    <row r="30" spans="2:14">
      <c r="B30" s="8" t="s">
        <v>1140</v>
      </c>
      <c r="C30" s="70">
        <f t="shared" ref="C30:H30" si="12">ROUND(((SUM($C$45:$C$48)+SUM($C$53:$C$56))*C10),0)</f>
        <v>0</v>
      </c>
      <c r="D30" s="70">
        <f t="shared" si="12"/>
        <v>0</v>
      </c>
      <c r="E30" s="70">
        <f t="shared" si="12"/>
        <v>0</v>
      </c>
      <c r="F30" s="70">
        <f t="shared" si="12"/>
        <v>0</v>
      </c>
      <c r="G30" s="70">
        <f t="shared" si="12"/>
        <v>0</v>
      </c>
      <c r="H30" s="267">
        <f t="shared" si="12"/>
        <v>0</v>
      </c>
      <c r="M30" s="451"/>
      <c r="N30" s="446"/>
    </row>
    <row r="31" spans="2:14">
      <c r="B31" s="8" t="s">
        <v>1141</v>
      </c>
      <c r="C31" s="70">
        <f t="shared" ref="C31:H31" si="13">ROUND(((SUM($C$46:$C$48)+SUM($C$54:$C$56))*C10),0)</f>
        <v>0</v>
      </c>
      <c r="D31" s="70">
        <f t="shared" si="13"/>
        <v>0</v>
      </c>
      <c r="E31" s="70">
        <f t="shared" si="13"/>
        <v>0</v>
      </c>
      <c r="F31" s="70">
        <f t="shared" si="13"/>
        <v>0</v>
      </c>
      <c r="G31" s="70">
        <f t="shared" si="13"/>
        <v>0</v>
      </c>
      <c r="H31" s="267">
        <f t="shared" si="13"/>
        <v>0</v>
      </c>
      <c r="M31" s="451"/>
      <c r="N31" s="446"/>
    </row>
    <row r="32" spans="2:14">
      <c r="B32" s="8" t="s">
        <v>1373</v>
      </c>
      <c r="C32" s="70">
        <f t="shared" ref="C32:H32" si="14">ROUND(((SUM($C$46:$C$48))*C10),0)</f>
        <v>0</v>
      </c>
      <c r="D32" s="70">
        <f t="shared" si="14"/>
        <v>0</v>
      </c>
      <c r="E32" s="70">
        <f t="shared" si="14"/>
        <v>0</v>
      </c>
      <c r="F32" s="70">
        <f t="shared" si="14"/>
        <v>0</v>
      </c>
      <c r="G32" s="70">
        <f t="shared" si="14"/>
        <v>0</v>
      </c>
      <c r="H32" s="267">
        <f t="shared" si="14"/>
        <v>0</v>
      </c>
      <c r="M32" s="451"/>
      <c r="N32" s="446"/>
    </row>
    <row r="33" spans="2:14">
      <c r="B33" s="9" t="s">
        <v>1374</v>
      </c>
      <c r="C33" s="498">
        <f t="shared" ref="C33:H33" si="15">ROUND(((SUM($C$54:$C$56))*C10),0)</f>
        <v>0</v>
      </c>
      <c r="D33" s="498">
        <f t="shared" si="15"/>
        <v>0</v>
      </c>
      <c r="E33" s="498">
        <f t="shared" si="15"/>
        <v>0</v>
      </c>
      <c r="F33" s="498">
        <f t="shared" si="15"/>
        <v>0</v>
      </c>
      <c r="G33" s="498">
        <f t="shared" si="15"/>
        <v>0</v>
      </c>
      <c r="H33" s="499">
        <f t="shared" si="15"/>
        <v>0</v>
      </c>
      <c r="M33" s="451"/>
      <c r="N33" s="446"/>
    </row>
    <row r="34" spans="2:14">
      <c r="B34" s="4"/>
      <c r="C34" s="70"/>
      <c r="D34" s="70"/>
      <c r="E34" s="70"/>
      <c r="F34" s="70"/>
      <c r="G34" s="500"/>
      <c r="H34" s="70"/>
      <c r="M34" s="451"/>
      <c r="N34" s="446"/>
    </row>
    <row r="35" spans="2:14">
      <c r="G35" s="90"/>
      <c r="H35" s="90"/>
      <c r="M35" s="451"/>
      <c r="N35" s="446"/>
    </row>
    <row r="36" spans="2:14" ht="15" thickBot="1">
      <c r="G36" s="90"/>
      <c r="H36" s="90"/>
      <c r="M36" s="451"/>
      <c r="N36" s="446"/>
    </row>
    <row r="37" spans="2:14">
      <c r="B37" s="88" t="s">
        <v>741</v>
      </c>
      <c r="C37" s="89" t="str">
        <f>IF(default_pop_categories="No","User Input","Default")</f>
        <v>Default</v>
      </c>
      <c r="D37" s="16" t="s">
        <v>742</v>
      </c>
      <c r="E37" s="90" t="s">
        <v>743</v>
      </c>
      <c r="F37" s="90"/>
      <c r="M37" s="451"/>
      <c r="N37" s="446"/>
    </row>
    <row r="38" spans="2:14">
      <c r="B38" s="17" t="s">
        <v>26</v>
      </c>
      <c r="C38" s="91" t="e">
        <f>IF(default_pop_categories="No",D38,E38)</f>
        <v>#DIV/0!</v>
      </c>
      <c r="D38" s="92">
        <f>(national_pop*(1-percent_female))/1000</f>
        <v>0</v>
      </c>
      <c r="E38" s="93" t="e">
        <f>(IF(selected_country="",0,(INDEX(country_database,MATCH(selected_country,country_list,0),MATCH(B38,database_indicators,0))))/SUM(F38:F39))*(national_pop/1000)</f>
        <v>#DIV/0!</v>
      </c>
      <c r="F38" s="94">
        <f>IF(selected_country="",0,(INDEX(country_database,MATCH(selected_country,country_list,0),MATCH(B38,database_indicators,0))))</f>
        <v>0</v>
      </c>
      <c r="M38" s="451"/>
      <c r="N38" s="446"/>
    </row>
    <row r="39" spans="2:14">
      <c r="B39" s="17" t="s">
        <v>27</v>
      </c>
      <c r="C39" s="91" t="e">
        <f>IF(default_pop_categories="No",D39,E39)</f>
        <v>#DIV/0!</v>
      </c>
      <c r="D39" s="92">
        <f>(national_pop*(percent_female))/1000</f>
        <v>0</v>
      </c>
      <c r="E39" s="95" t="e">
        <f>(IF(selected_country="",0,(INDEX(country_database,MATCH(selected_country,country_list,0),MATCH(B39,database_indicators,0))))/SUM(F38:F39))*(national_pop/1000)</f>
        <v>#DIV/0!</v>
      </c>
      <c r="F39" s="96">
        <f>IF(selected_country="",0,(INDEX(country_database,MATCH(selected_country,country_list,0),MATCH(B39,database_indicators,0))))</f>
        <v>0</v>
      </c>
      <c r="M39" s="451"/>
      <c r="N39" s="446"/>
    </row>
    <row r="40" spans="2:14">
      <c r="B40" s="17"/>
      <c r="C40" s="91"/>
      <c r="E40" s="97"/>
      <c r="F40" s="98"/>
      <c r="M40" s="451"/>
      <c r="N40" s="446"/>
    </row>
    <row r="41" spans="2:14">
      <c r="B41" s="17" t="s">
        <v>28</v>
      </c>
      <c r="C41" s="99">
        <f t="shared" ref="C41:C56" si="16">IF(default_pop_categories="No",D41,E41)</f>
        <v>0</v>
      </c>
      <c r="D41" s="100">
        <f>percent_0_1</f>
        <v>0</v>
      </c>
      <c r="E41" s="101">
        <f>(IF(selected_country="",0,((((INDEX(country_database,MATCH(selected_country,country_list,0),MATCH(B41,database_indicators,0))))/100)*$E$38)/SUM($E$38:$E$39)))</f>
        <v>0</v>
      </c>
      <c r="F41" s="102"/>
      <c r="M41" s="451"/>
      <c r="N41" s="446"/>
    </row>
    <row r="42" spans="2:14">
      <c r="B42" s="17" t="s">
        <v>744</v>
      </c>
      <c r="C42" s="99">
        <f t="shared" si="16"/>
        <v>0</v>
      </c>
      <c r="D42" s="101">
        <f>D44*(58/60)</f>
        <v>0</v>
      </c>
      <c r="E42" s="101">
        <f>E44*(58/60)</f>
        <v>0</v>
      </c>
      <c r="F42" s="102"/>
      <c r="M42" s="451"/>
      <c r="N42" s="446"/>
    </row>
    <row r="43" spans="2:14">
      <c r="B43" s="17" t="s">
        <v>745</v>
      </c>
      <c r="C43" s="99">
        <f t="shared" si="16"/>
        <v>0</v>
      </c>
      <c r="D43" s="101">
        <f>D44*(54/60)</f>
        <v>0</v>
      </c>
      <c r="E43" s="101">
        <f>E44*(54/60)</f>
        <v>0</v>
      </c>
      <c r="F43" s="102"/>
      <c r="M43" s="451"/>
      <c r="N43" s="446"/>
    </row>
    <row r="44" spans="2:14">
      <c r="B44" s="17" t="s">
        <v>29</v>
      </c>
      <c r="C44" s="99">
        <f t="shared" si="16"/>
        <v>0</v>
      </c>
      <c r="D44" s="100">
        <f>percent_0_5*(1-percent_female)</f>
        <v>0</v>
      </c>
      <c r="E44" s="101">
        <f>IF(selected_country="",0,((((INDEX(country_database,MATCH(selected_country,country_list,0),MATCH(B44,database_indicators,0))))/100)*$E$38)/SUM($E$38:$E$39))</f>
        <v>0</v>
      </c>
      <c r="F44" s="102"/>
    </row>
    <row r="45" spans="2:14">
      <c r="B45" s="17" t="s">
        <v>33</v>
      </c>
      <c r="C45" s="99">
        <f t="shared" si="16"/>
        <v>0</v>
      </c>
      <c r="D45" s="100">
        <f>percent_5_14*(1-percent_female)</f>
        <v>0</v>
      </c>
      <c r="E45" s="101">
        <f>IF(selected_country="",0,((((INDEX(country_database,MATCH(selected_country,country_list,0),MATCH(B45,database_indicators,0))))/100)*$E$38)/SUM($E$38:$E$39))</f>
        <v>0</v>
      </c>
      <c r="F45" s="102"/>
    </row>
    <row r="46" spans="2:14">
      <c r="B46" s="17" t="s">
        <v>35</v>
      </c>
      <c r="C46" s="99">
        <f t="shared" si="16"/>
        <v>0</v>
      </c>
      <c r="D46" s="100">
        <f>percent_15_24*(1-percent_female)</f>
        <v>0</v>
      </c>
      <c r="E46" s="101">
        <f>IF(selected_country="",0,((((INDEX(country_database,MATCH(selected_country,country_list,0),MATCH(B46,database_indicators,0))))/100)*$E$38)/SUM($E$38:$E$39))</f>
        <v>0</v>
      </c>
      <c r="F46" s="102"/>
    </row>
    <row r="47" spans="2:14">
      <c r="B47" s="17" t="s">
        <v>39</v>
      </c>
      <c r="C47" s="99">
        <f t="shared" si="16"/>
        <v>0</v>
      </c>
      <c r="D47" s="100">
        <f>percent_25_49*(1-percent_female)</f>
        <v>0</v>
      </c>
      <c r="E47" s="101">
        <f>IF(selected_country="",0,((((INDEX(country_database,MATCH(selected_country,country_list,0),MATCH(B47,database_indicators,0))))/100)*$E$38)/SUM($E$38:$E$39))</f>
        <v>0</v>
      </c>
      <c r="F47" s="102"/>
    </row>
    <row r="48" spans="2:14">
      <c r="B48" s="17" t="s">
        <v>42</v>
      </c>
      <c r="C48" s="99">
        <f t="shared" si="16"/>
        <v>0</v>
      </c>
      <c r="D48" s="100">
        <f>percent_50*(1-percent_female)</f>
        <v>0</v>
      </c>
      <c r="E48" s="101">
        <f>IF(selected_country="",0,((((INDEX(country_database,MATCH(selected_country,country_list,0),MATCH(B48,database_indicators,0))))/100)*$E$38)/SUM($E$38:$E$39))</f>
        <v>0</v>
      </c>
      <c r="F48" s="102"/>
    </row>
    <row r="49" spans="2:6">
      <c r="B49" s="17" t="s">
        <v>44</v>
      </c>
      <c r="C49" s="99">
        <f t="shared" si="16"/>
        <v>0</v>
      </c>
      <c r="D49" s="100">
        <f>percent_0_1*percent_female</f>
        <v>0</v>
      </c>
      <c r="E49" s="101">
        <f>(IF(selected_country="",0,((((INDEX(country_database,MATCH(selected_country,country_list,0),MATCH(B49,database_indicators,0))))/100)*$E$39)/SUM($E$38:$E$39)))</f>
        <v>0</v>
      </c>
      <c r="F49" s="102"/>
    </row>
    <row r="50" spans="2:6">
      <c r="B50" s="17" t="s">
        <v>746</v>
      </c>
      <c r="C50" s="99">
        <f t="shared" si="16"/>
        <v>0</v>
      </c>
      <c r="D50" s="101">
        <f>D52*(58/60)*percent_female</f>
        <v>0</v>
      </c>
      <c r="E50" s="101">
        <f>E52*(58/60)</f>
        <v>0</v>
      </c>
      <c r="F50" s="102"/>
    </row>
    <row r="51" spans="2:6">
      <c r="B51" s="17" t="s">
        <v>747</v>
      </c>
      <c r="C51" s="99">
        <f t="shared" si="16"/>
        <v>0</v>
      </c>
      <c r="D51" s="101">
        <f>D52*(54/60)*percent_female</f>
        <v>0</v>
      </c>
      <c r="E51" s="101">
        <f>E52*(54/60)</f>
        <v>0</v>
      </c>
      <c r="F51" s="102"/>
    </row>
    <row r="52" spans="2:6">
      <c r="B52" s="17" t="s">
        <v>45</v>
      </c>
      <c r="C52" s="99">
        <f t="shared" si="16"/>
        <v>0</v>
      </c>
      <c r="D52" s="100">
        <f>percent_0_5*percent_female</f>
        <v>0</v>
      </c>
      <c r="E52" s="101">
        <f>IF(selected_country="",0,((((INDEX(country_database,MATCH(selected_country,country_list,0),MATCH(B52,database_indicators,0))))/100)*$E$39)/SUM($E$38:$E$39))</f>
        <v>0</v>
      </c>
    </row>
    <row r="53" spans="2:6">
      <c r="B53" s="17" t="s">
        <v>47</v>
      </c>
      <c r="C53" s="99">
        <f t="shared" si="16"/>
        <v>0</v>
      </c>
      <c r="D53" s="100">
        <f>percent_5_14*percent_female</f>
        <v>0</v>
      </c>
      <c r="E53" s="101">
        <f>IF(selected_country="",0,((((INDEX(country_database,MATCH(selected_country,country_list,0),MATCH(B53,database_indicators,0))))/100)*$E$39)/SUM($E$38:$E$39))</f>
        <v>0</v>
      </c>
    </row>
    <row r="54" spans="2:6">
      <c r="B54" s="17" t="s">
        <v>49</v>
      </c>
      <c r="C54" s="99">
        <f t="shared" si="16"/>
        <v>0</v>
      </c>
      <c r="D54" s="100">
        <f>percent_15_24*percent_female</f>
        <v>0</v>
      </c>
      <c r="E54" s="101">
        <f>IF(selected_country="",0,((((INDEX(country_database,MATCH(selected_country,country_list,0),MATCH(B54,database_indicators,0))))/100)*$E$39)/SUM($E$38:$E$39))</f>
        <v>0</v>
      </c>
    </row>
    <row r="55" spans="2:6">
      <c r="B55" s="17" t="s">
        <v>52</v>
      </c>
      <c r="C55" s="99">
        <f t="shared" si="16"/>
        <v>0</v>
      </c>
      <c r="D55" s="100">
        <f>percent_25_49*percent_female</f>
        <v>0</v>
      </c>
      <c r="E55" s="101">
        <f>IF(selected_country="",0,((((INDEX(country_database,MATCH(selected_country,country_list,0),MATCH(B55,database_indicators,0))))/100)*$E$39)/SUM($E$38:$E$39))</f>
        <v>0</v>
      </c>
    </row>
    <row r="56" spans="2:6" ht="15" thickBot="1">
      <c r="B56" s="33" t="s">
        <v>53</v>
      </c>
      <c r="C56" s="103">
        <f t="shared" si="16"/>
        <v>0</v>
      </c>
      <c r="D56" s="100">
        <f>percent_50*percent_female</f>
        <v>0</v>
      </c>
      <c r="E56" s="101">
        <f>IF(selected_country="",0,((((INDEX(country_database,MATCH(selected_country,country_list,0),MATCH(B56,database_indicators,0))))/100)*$E$39)/SUM($E$38:$E$39))</f>
        <v>0</v>
      </c>
    </row>
  </sheetData>
  <conditionalFormatting sqref="K8:K14">
    <cfRule type="expression" dxfId="1" priority="2">
      <formula>$K$5="Yes"</formula>
    </cfRule>
  </conditionalFormatting>
  <dataValidations count="1">
    <dataValidation type="list" allowBlank="1" showInputMessage="1" showErrorMessage="1" sqref="K5">
      <formula1>"Yes, No"</formula1>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2060"/>
  </sheetPr>
  <dimension ref="A1:AD160"/>
  <sheetViews>
    <sheetView zoomScale="80" zoomScaleNormal="80" workbookViewId="0">
      <pane xSplit="2" ySplit="5" topLeftCell="C6" activePane="bottomRight" state="frozen"/>
      <selection activeCell="E12" sqref="E12"/>
      <selection pane="topRight" activeCell="E12" sqref="E12"/>
      <selection pane="bottomLeft" activeCell="E12" sqref="E12"/>
      <selection pane="bottomRight" activeCell="E12" sqref="E12"/>
    </sheetView>
  </sheetViews>
  <sheetFormatPr baseColWidth="10" defaultColWidth="8.77734375" defaultRowHeight="14.4"/>
  <cols>
    <col min="1" max="1" width="4.21875" style="3" customWidth="1"/>
    <col min="2" max="2" width="37.44140625" style="3" bestFit="1" customWidth="1"/>
    <col min="3" max="5" width="15.6640625" style="90" customWidth="1"/>
    <col min="6" max="6" width="15.6640625" style="3" customWidth="1"/>
    <col min="7" max="7" width="15.6640625" style="90" customWidth="1"/>
    <col min="8" max="9" width="15.6640625" style="3" customWidth="1"/>
    <col min="10" max="10" width="8.77734375" style="3"/>
    <col min="11" max="11" width="20.33203125" style="3" bestFit="1" customWidth="1"/>
    <col min="12" max="15" width="11.21875" style="3" bestFit="1" customWidth="1"/>
    <col min="16" max="16" width="13.21875" style="3" customWidth="1"/>
    <col min="17" max="17" width="4.77734375" style="3" customWidth="1"/>
    <col min="18" max="18" width="14.88671875" style="3" customWidth="1"/>
    <col min="19" max="23" width="13.77734375" style="3" bestFit="1" customWidth="1"/>
    <col min="24" max="24" width="4.77734375" style="3" customWidth="1"/>
    <col min="25" max="25" width="15.77734375" style="3" customWidth="1"/>
    <col min="26" max="26" width="12.44140625" style="3" customWidth="1"/>
    <col min="27" max="27" width="14.109375" style="3" bestFit="1" customWidth="1"/>
    <col min="28" max="28" width="14.21875" style="3" customWidth="1"/>
    <col min="29" max="29" width="14.109375" style="3" bestFit="1" customWidth="1"/>
    <col min="30" max="30" width="12.21875" style="3" customWidth="1"/>
    <col min="31" max="16384" width="8.77734375" style="3"/>
  </cols>
  <sheetData>
    <row r="1" spans="1:30" s="419" customFormat="1" ht="24" customHeight="1">
      <c r="A1" s="314" t="s">
        <v>1362</v>
      </c>
      <c r="I1" s="487"/>
      <c r="J1" s="488"/>
    </row>
    <row r="2" spans="1:30" s="453" customFormat="1" ht="18">
      <c r="A2" s="50" t="s">
        <v>598</v>
      </c>
      <c r="I2" s="489"/>
      <c r="J2" s="490"/>
    </row>
    <row r="3" spans="1:30">
      <c r="K3" s="454">
        <v>2</v>
      </c>
      <c r="L3" s="454">
        <v>3</v>
      </c>
      <c r="M3" s="454">
        <v>4</v>
      </c>
      <c r="N3" s="454">
        <v>5</v>
      </c>
      <c r="O3" s="454">
        <v>6</v>
      </c>
      <c r="P3" s="454">
        <v>7</v>
      </c>
      <c r="R3" s="454"/>
      <c r="S3" s="454"/>
      <c r="T3" s="454"/>
      <c r="U3" s="454"/>
      <c r="V3" s="454"/>
      <c r="W3" s="454"/>
      <c r="Y3" s="454"/>
      <c r="Z3" s="454"/>
      <c r="AA3" s="454"/>
      <c r="AB3" s="454"/>
      <c r="AC3" s="454"/>
      <c r="AD3" s="454"/>
    </row>
    <row r="4" spans="1:30">
      <c r="K4" s="4" t="s">
        <v>1363</v>
      </c>
      <c r="M4" s="493"/>
      <c r="N4" s="493"/>
      <c r="R4" s="4" t="s">
        <v>1364</v>
      </c>
      <c r="Y4" s="4" t="s">
        <v>1382</v>
      </c>
    </row>
    <row r="5" spans="1:30" ht="57.6">
      <c r="B5" s="263" t="s">
        <v>7</v>
      </c>
      <c r="C5" s="263" t="s">
        <v>0</v>
      </c>
      <c r="D5" s="263" t="s">
        <v>8</v>
      </c>
      <c r="E5" s="263" t="s">
        <v>9</v>
      </c>
      <c r="F5" s="263" t="s">
        <v>1425</v>
      </c>
      <c r="G5" s="263" t="s">
        <v>1365</v>
      </c>
      <c r="H5" s="263" t="s">
        <v>1366</v>
      </c>
      <c r="I5" s="263" t="s">
        <v>1367</v>
      </c>
      <c r="K5" s="4">
        <f>baseline_year</f>
        <v>0</v>
      </c>
      <c r="L5" s="4">
        <f>K5+1</f>
        <v>1</v>
      </c>
      <c r="M5" s="4">
        <f>L5+1</f>
        <v>2</v>
      </c>
      <c r="N5" s="4">
        <f>M5+1</f>
        <v>3</v>
      </c>
      <c r="O5" s="4">
        <f>N5+1</f>
        <v>4</v>
      </c>
      <c r="P5" s="4">
        <f>O5+1</f>
        <v>5</v>
      </c>
      <c r="R5" s="4">
        <f>baseline_year</f>
        <v>0</v>
      </c>
      <c r="S5" s="4">
        <f>R5+1</f>
        <v>1</v>
      </c>
      <c r="T5" s="4">
        <f>S5+1</f>
        <v>2</v>
      </c>
      <c r="U5" s="4">
        <f>T5+1</f>
        <v>3</v>
      </c>
      <c r="V5" s="4">
        <f>U5+1</f>
        <v>4</v>
      </c>
      <c r="W5" s="4">
        <f>V5+1</f>
        <v>5</v>
      </c>
      <c r="Y5" s="4">
        <f>baseline_year</f>
        <v>0</v>
      </c>
      <c r="Z5" s="4">
        <f>Y5+1</f>
        <v>1</v>
      </c>
      <c r="AA5" s="4">
        <f>Z5+1</f>
        <v>2</v>
      </c>
      <c r="AB5" s="4">
        <f>AA5+1</f>
        <v>3</v>
      </c>
      <c r="AC5" s="4">
        <f>AB5+1</f>
        <v>4</v>
      </c>
      <c r="AD5" s="4">
        <f>AC5+1</f>
        <v>5</v>
      </c>
    </row>
    <row r="6" spans="1:30" ht="14.7" customHeight="1">
      <c r="A6" s="1">
        <v>1</v>
      </c>
      <c r="B6" s="494">
        <f>Package_Services!B8</f>
        <v>0</v>
      </c>
      <c r="C6" s="494">
        <f>Package_Services!C8</f>
        <v>0</v>
      </c>
      <c r="D6" s="494">
        <f>Package_Services!D8</f>
        <v>0</v>
      </c>
      <c r="E6" s="494">
        <f>Package_Services!E8</f>
        <v>0</v>
      </c>
      <c r="F6" s="494">
        <f>Package_Services!F8</f>
        <v>0</v>
      </c>
      <c r="G6" s="491">
        <f>Package_Services!G8</f>
        <v>0</v>
      </c>
      <c r="H6" s="494">
        <f>Package_Services!H8</f>
        <v>0</v>
      </c>
      <c r="I6" s="494">
        <f>Package_Services!I8</f>
        <v>0</v>
      </c>
      <c r="K6" s="92">
        <f t="shared" ref="K6:P15" si="0">IF($D6=0,0,VLOOKUP($D6,lookup_demography,K$3,FALSE))</f>
        <v>0</v>
      </c>
      <c r="L6" s="92">
        <f t="shared" si="0"/>
        <v>0</v>
      </c>
      <c r="M6" s="92">
        <f t="shared" si="0"/>
        <v>0</v>
      </c>
      <c r="N6" s="92">
        <f t="shared" si="0"/>
        <v>0</v>
      </c>
      <c r="O6" s="92">
        <f t="shared" si="0"/>
        <v>0</v>
      </c>
      <c r="P6" s="92">
        <f t="shared" si="0"/>
        <v>0</v>
      </c>
      <c r="R6" s="495">
        <f t="shared" ref="R6:W6" si="1">K6*$I6</f>
        <v>0</v>
      </c>
      <c r="S6" s="495">
        <f t="shared" si="1"/>
        <v>0</v>
      </c>
      <c r="T6" s="495">
        <f t="shared" si="1"/>
        <v>0</v>
      </c>
      <c r="U6" s="495">
        <f t="shared" si="1"/>
        <v>0</v>
      </c>
      <c r="V6" s="495">
        <f t="shared" si="1"/>
        <v>0</v>
      </c>
      <c r="W6" s="495">
        <f t="shared" si="1"/>
        <v>0</v>
      </c>
      <c r="Y6" s="495">
        <f>IF(Coverage!$G$4="Actual",Coverage!$C9,Coverage!$G9*$R6)</f>
        <v>0</v>
      </c>
      <c r="Z6" s="496">
        <f>ROUNDUP(S6*Coverage!H9,0)</f>
        <v>0</v>
      </c>
      <c r="AA6" s="496">
        <f>ROUNDUP(T6*Coverage!I9,0)</f>
        <v>0</v>
      </c>
      <c r="AB6" s="496">
        <f>ROUNDUP(U6*Coverage!J9,0)</f>
        <v>0</v>
      </c>
      <c r="AC6" s="496">
        <f>ROUNDUP(V6*Coverage!K9,0)</f>
        <v>0</v>
      </c>
      <c r="AD6" s="496">
        <f>ROUNDUP(W6*Coverage!L9,0)</f>
        <v>0</v>
      </c>
    </row>
    <row r="7" spans="1:30">
      <c r="A7" s="1">
        <v>2</v>
      </c>
      <c r="B7" s="494">
        <f>Package_Services!B9</f>
        <v>0</v>
      </c>
      <c r="C7" s="494">
        <f>Package_Services!C9</f>
        <v>0</v>
      </c>
      <c r="D7" s="494">
        <f>Package_Services!D9</f>
        <v>0</v>
      </c>
      <c r="E7" s="494">
        <f>Package_Services!E9</f>
        <v>0</v>
      </c>
      <c r="F7" s="494">
        <f>Package_Services!F9</f>
        <v>0</v>
      </c>
      <c r="G7" s="491">
        <f>Package_Services!G9</f>
        <v>0</v>
      </c>
      <c r="H7" s="494">
        <f>Package_Services!H9</f>
        <v>0</v>
      </c>
      <c r="I7" s="494">
        <f>Package_Services!I9</f>
        <v>0</v>
      </c>
      <c r="K7" s="92">
        <f t="shared" si="0"/>
        <v>0</v>
      </c>
      <c r="L7" s="92">
        <f t="shared" si="0"/>
        <v>0</v>
      </c>
      <c r="M7" s="92">
        <f t="shared" si="0"/>
        <v>0</v>
      </c>
      <c r="N7" s="92">
        <f t="shared" si="0"/>
        <v>0</v>
      </c>
      <c r="O7" s="92">
        <f t="shared" si="0"/>
        <v>0</v>
      </c>
      <c r="P7" s="92">
        <f t="shared" si="0"/>
        <v>0</v>
      </c>
      <c r="R7" s="495">
        <f t="shared" ref="R7:R70" si="2">K7*$I7</f>
        <v>0</v>
      </c>
      <c r="S7" s="495">
        <f t="shared" ref="S7:S70" si="3">L7*$I7</f>
        <v>0</v>
      </c>
      <c r="T7" s="495">
        <f t="shared" ref="T7:T70" si="4">M7*$I7</f>
        <v>0</v>
      </c>
      <c r="U7" s="495">
        <f t="shared" ref="U7:U70" si="5">N7*$I7</f>
        <v>0</v>
      </c>
      <c r="V7" s="495">
        <f t="shared" ref="V7:V70" si="6">O7*$I7</f>
        <v>0</v>
      </c>
      <c r="W7" s="495">
        <f t="shared" ref="W7:W70" si="7">P7*$I7</f>
        <v>0</v>
      </c>
      <c r="Y7" s="495">
        <f>IF(Coverage!$G$4="Actual",Coverage!$C10,Coverage!$G10*$R7)</f>
        <v>0</v>
      </c>
      <c r="Z7" s="496">
        <f>ROUNDUP(S7*Coverage!H10,0)</f>
        <v>0</v>
      </c>
      <c r="AA7" s="496">
        <f>ROUNDUP(T7*Coverage!I10,0)</f>
        <v>0</v>
      </c>
      <c r="AB7" s="496">
        <f>ROUNDUP(U7*Coverage!J10,0)</f>
        <v>0</v>
      </c>
      <c r="AC7" s="496">
        <f>ROUNDUP(V7*Coverage!K10,0)</f>
        <v>0</v>
      </c>
      <c r="AD7" s="496">
        <f>ROUNDUP(W7*Coverage!L10,0)</f>
        <v>0</v>
      </c>
    </row>
    <row r="8" spans="1:30">
      <c r="A8" s="1">
        <v>3</v>
      </c>
      <c r="B8" s="494">
        <f>Package_Services!B10</f>
        <v>0</v>
      </c>
      <c r="C8" s="494">
        <f>Package_Services!C10</f>
        <v>0</v>
      </c>
      <c r="D8" s="494">
        <f>Package_Services!D10</f>
        <v>0</v>
      </c>
      <c r="E8" s="494">
        <f>Package_Services!E10</f>
        <v>0</v>
      </c>
      <c r="F8" s="494">
        <f>Package_Services!F10</f>
        <v>0</v>
      </c>
      <c r="G8" s="491">
        <f>Package_Services!G10</f>
        <v>0</v>
      </c>
      <c r="H8" s="494">
        <f>Package_Services!H10</f>
        <v>0</v>
      </c>
      <c r="I8" s="494">
        <f>Package_Services!I10</f>
        <v>0</v>
      </c>
      <c r="K8" s="92">
        <f t="shared" si="0"/>
        <v>0</v>
      </c>
      <c r="L8" s="92">
        <f t="shared" si="0"/>
        <v>0</v>
      </c>
      <c r="M8" s="92">
        <f t="shared" si="0"/>
        <v>0</v>
      </c>
      <c r="N8" s="92">
        <f t="shared" si="0"/>
        <v>0</v>
      </c>
      <c r="O8" s="92">
        <f t="shared" si="0"/>
        <v>0</v>
      </c>
      <c r="P8" s="92">
        <f t="shared" si="0"/>
        <v>0</v>
      </c>
      <c r="R8" s="495">
        <f t="shared" si="2"/>
        <v>0</v>
      </c>
      <c r="S8" s="495">
        <f t="shared" si="3"/>
        <v>0</v>
      </c>
      <c r="T8" s="495">
        <f t="shared" si="4"/>
        <v>0</v>
      </c>
      <c r="U8" s="495">
        <f t="shared" si="5"/>
        <v>0</v>
      </c>
      <c r="V8" s="495">
        <f t="shared" si="6"/>
        <v>0</v>
      </c>
      <c r="W8" s="495">
        <f t="shared" si="7"/>
        <v>0</v>
      </c>
      <c r="Y8" s="495">
        <f>IF(Coverage!$G$4="Actual",Coverage!$C11,Coverage!$G11*$R8)</f>
        <v>0</v>
      </c>
      <c r="Z8" s="496">
        <f>ROUNDUP(S8*Coverage!H11,0)</f>
        <v>0</v>
      </c>
      <c r="AA8" s="496">
        <f>ROUNDUP(T8*Coverage!I11,0)</f>
        <v>0</v>
      </c>
      <c r="AB8" s="496">
        <f>ROUNDUP(U8*Coverage!J11,0)</f>
        <v>0</v>
      </c>
      <c r="AC8" s="496">
        <f>ROUNDUP(V8*Coverage!K11,0)</f>
        <v>0</v>
      </c>
      <c r="AD8" s="496">
        <f>ROUNDUP(W8*Coverage!L11,0)</f>
        <v>0</v>
      </c>
    </row>
    <row r="9" spans="1:30">
      <c r="A9" s="1">
        <v>4</v>
      </c>
      <c r="B9" s="494">
        <f>Package_Services!B11</f>
        <v>0</v>
      </c>
      <c r="C9" s="494">
        <f>Package_Services!C11</f>
        <v>0</v>
      </c>
      <c r="D9" s="494">
        <f>Package_Services!D11</f>
        <v>0</v>
      </c>
      <c r="E9" s="494">
        <f>Package_Services!E11</f>
        <v>0</v>
      </c>
      <c r="F9" s="494">
        <f>Package_Services!F11</f>
        <v>0</v>
      </c>
      <c r="G9" s="491">
        <f>Package_Services!G11</f>
        <v>0</v>
      </c>
      <c r="H9" s="494">
        <f>Package_Services!H11</f>
        <v>0</v>
      </c>
      <c r="I9" s="494">
        <f>Package_Services!I11</f>
        <v>0</v>
      </c>
      <c r="K9" s="92">
        <f t="shared" si="0"/>
        <v>0</v>
      </c>
      <c r="L9" s="92">
        <f t="shared" si="0"/>
        <v>0</v>
      </c>
      <c r="M9" s="92">
        <f t="shared" si="0"/>
        <v>0</v>
      </c>
      <c r="N9" s="92">
        <f t="shared" si="0"/>
        <v>0</v>
      </c>
      <c r="O9" s="92">
        <f t="shared" si="0"/>
        <v>0</v>
      </c>
      <c r="P9" s="92">
        <f t="shared" si="0"/>
        <v>0</v>
      </c>
      <c r="R9" s="495">
        <f t="shared" si="2"/>
        <v>0</v>
      </c>
      <c r="S9" s="495">
        <f t="shared" si="3"/>
        <v>0</v>
      </c>
      <c r="T9" s="495">
        <f t="shared" si="4"/>
        <v>0</v>
      </c>
      <c r="U9" s="495">
        <f t="shared" si="5"/>
        <v>0</v>
      </c>
      <c r="V9" s="495">
        <f t="shared" si="6"/>
        <v>0</v>
      </c>
      <c r="W9" s="495">
        <f t="shared" si="7"/>
        <v>0</v>
      </c>
      <c r="Y9" s="495">
        <f>IF(Coverage!$G$4="Actual",Coverage!$C12,Coverage!$G12*$R9)</f>
        <v>0</v>
      </c>
      <c r="Z9" s="496">
        <f>ROUNDUP(S9*Coverage!H12,0)</f>
        <v>0</v>
      </c>
      <c r="AA9" s="496">
        <f>ROUNDUP(T9*Coverage!I12,0)</f>
        <v>0</v>
      </c>
      <c r="AB9" s="496">
        <f>ROUNDUP(U9*Coverage!J12,0)</f>
        <v>0</v>
      </c>
      <c r="AC9" s="496">
        <f>ROUNDUP(V9*Coverage!K12,0)</f>
        <v>0</v>
      </c>
      <c r="AD9" s="496">
        <f>ROUNDUP(W9*Coverage!L12,0)</f>
        <v>0</v>
      </c>
    </row>
    <row r="10" spans="1:30">
      <c r="A10" s="1">
        <v>5</v>
      </c>
      <c r="B10" s="494">
        <f>Package_Services!B12</f>
        <v>0</v>
      </c>
      <c r="C10" s="494">
        <f>Package_Services!C12</f>
        <v>0</v>
      </c>
      <c r="D10" s="494">
        <f>Package_Services!D12</f>
        <v>0</v>
      </c>
      <c r="E10" s="494">
        <f>Package_Services!E12</f>
        <v>0</v>
      </c>
      <c r="F10" s="494">
        <f>Package_Services!F12</f>
        <v>0</v>
      </c>
      <c r="G10" s="491">
        <f>Package_Services!G12</f>
        <v>0</v>
      </c>
      <c r="H10" s="494">
        <f>Package_Services!H12</f>
        <v>0</v>
      </c>
      <c r="I10" s="494">
        <f>Package_Services!I12</f>
        <v>0</v>
      </c>
      <c r="K10" s="92">
        <f t="shared" si="0"/>
        <v>0</v>
      </c>
      <c r="L10" s="92">
        <f t="shared" si="0"/>
        <v>0</v>
      </c>
      <c r="M10" s="92">
        <f t="shared" si="0"/>
        <v>0</v>
      </c>
      <c r="N10" s="92">
        <f t="shared" si="0"/>
        <v>0</v>
      </c>
      <c r="O10" s="92">
        <f t="shared" si="0"/>
        <v>0</v>
      </c>
      <c r="P10" s="92">
        <f t="shared" si="0"/>
        <v>0</v>
      </c>
      <c r="R10" s="495">
        <f t="shared" si="2"/>
        <v>0</v>
      </c>
      <c r="S10" s="495">
        <f t="shared" si="3"/>
        <v>0</v>
      </c>
      <c r="T10" s="495">
        <f t="shared" si="4"/>
        <v>0</v>
      </c>
      <c r="U10" s="495">
        <f t="shared" si="5"/>
        <v>0</v>
      </c>
      <c r="V10" s="495">
        <f t="shared" si="6"/>
        <v>0</v>
      </c>
      <c r="W10" s="495">
        <f t="shared" si="7"/>
        <v>0</v>
      </c>
      <c r="Y10" s="495">
        <f>IF(Coverage!$G$4="Actual",Coverage!$C13,Coverage!$G13*$R10)</f>
        <v>0</v>
      </c>
      <c r="Z10" s="496">
        <f>ROUNDUP(S10*Coverage!H13,0)</f>
        <v>0</v>
      </c>
      <c r="AA10" s="496">
        <f>ROUNDUP(T10*Coverage!I13,0)</f>
        <v>0</v>
      </c>
      <c r="AB10" s="496">
        <f>ROUNDUP(U10*Coverage!J13,0)</f>
        <v>0</v>
      </c>
      <c r="AC10" s="496">
        <f>ROUNDUP(V10*Coverage!K13,0)</f>
        <v>0</v>
      </c>
      <c r="AD10" s="496">
        <f>ROUNDUP(W10*Coverage!L13,0)</f>
        <v>0</v>
      </c>
    </row>
    <row r="11" spans="1:30">
      <c r="A11" s="1">
        <v>6</v>
      </c>
      <c r="B11" s="494">
        <f>Package_Services!B13</f>
        <v>0</v>
      </c>
      <c r="C11" s="494">
        <f>Package_Services!C13</f>
        <v>0</v>
      </c>
      <c r="D11" s="494">
        <f>Package_Services!D13</f>
        <v>0</v>
      </c>
      <c r="E11" s="494">
        <f>Package_Services!E13</f>
        <v>0</v>
      </c>
      <c r="F11" s="494">
        <f>Package_Services!F13</f>
        <v>0</v>
      </c>
      <c r="G11" s="491">
        <f>Package_Services!G13</f>
        <v>0</v>
      </c>
      <c r="H11" s="494">
        <f>Package_Services!H13</f>
        <v>0</v>
      </c>
      <c r="I11" s="494">
        <f>Package_Services!I13</f>
        <v>0</v>
      </c>
      <c r="K11" s="92">
        <f t="shared" si="0"/>
        <v>0</v>
      </c>
      <c r="L11" s="92">
        <f t="shared" si="0"/>
        <v>0</v>
      </c>
      <c r="M11" s="92">
        <f t="shared" si="0"/>
        <v>0</v>
      </c>
      <c r="N11" s="92">
        <f t="shared" si="0"/>
        <v>0</v>
      </c>
      <c r="O11" s="92">
        <f t="shared" si="0"/>
        <v>0</v>
      </c>
      <c r="P11" s="92">
        <f t="shared" si="0"/>
        <v>0</v>
      </c>
      <c r="R11" s="495">
        <f t="shared" si="2"/>
        <v>0</v>
      </c>
      <c r="S11" s="495">
        <f t="shared" si="3"/>
        <v>0</v>
      </c>
      <c r="T11" s="495">
        <f t="shared" si="4"/>
        <v>0</v>
      </c>
      <c r="U11" s="495">
        <f t="shared" si="5"/>
        <v>0</v>
      </c>
      <c r="V11" s="495">
        <f t="shared" si="6"/>
        <v>0</v>
      </c>
      <c r="W11" s="495">
        <f t="shared" si="7"/>
        <v>0</v>
      </c>
      <c r="Y11" s="495">
        <f>IF(Coverage!$G$4="Actual",Coverage!$C14,Coverage!$G14*$R11)</f>
        <v>0</v>
      </c>
      <c r="Z11" s="496">
        <f>ROUNDUP(S11*Coverage!H14,0)</f>
        <v>0</v>
      </c>
      <c r="AA11" s="496">
        <f>ROUNDUP(T11*Coverage!I14,0)</f>
        <v>0</v>
      </c>
      <c r="AB11" s="496">
        <f>ROUNDUP(U11*Coverage!J14,0)</f>
        <v>0</v>
      </c>
      <c r="AC11" s="496">
        <f>ROUNDUP(V11*Coverage!K14,0)</f>
        <v>0</v>
      </c>
      <c r="AD11" s="496">
        <f>ROUNDUP(W11*Coverage!L14,0)</f>
        <v>0</v>
      </c>
    </row>
    <row r="12" spans="1:30">
      <c r="A12" s="1">
        <v>7</v>
      </c>
      <c r="B12" s="494">
        <f>Package_Services!B14</f>
        <v>0</v>
      </c>
      <c r="C12" s="494">
        <f>Package_Services!C14</f>
        <v>0</v>
      </c>
      <c r="D12" s="494">
        <f>Package_Services!D14</f>
        <v>0</v>
      </c>
      <c r="E12" s="494">
        <f>Package_Services!E14</f>
        <v>0</v>
      </c>
      <c r="F12" s="494">
        <f>Package_Services!F14</f>
        <v>0</v>
      </c>
      <c r="G12" s="497">
        <f>Package_Services!G14</f>
        <v>0</v>
      </c>
      <c r="H12" s="494">
        <f>Package_Services!H14</f>
        <v>0</v>
      </c>
      <c r="I12" s="494">
        <f>Package_Services!I14</f>
        <v>0</v>
      </c>
      <c r="K12" s="92">
        <f t="shared" si="0"/>
        <v>0</v>
      </c>
      <c r="L12" s="92">
        <f t="shared" si="0"/>
        <v>0</v>
      </c>
      <c r="M12" s="92">
        <f t="shared" si="0"/>
        <v>0</v>
      </c>
      <c r="N12" s="92">
        <f t="shared" si="0"/>
        <v>0</v>
      </c>
      <c r="O12" s="92">
        <f t="shared" si="0"/>
        <v>0</v>
      </c>
      <c r="P12" s="92">
        <f t="shared" si="0"/>
        <v>0</v>
      </c>
      <c r="R12" s="495">
        <f t="shared" si="2"/>
        <v>0</v>
      </c>
      <c r="S12" s="495">
        <f t="shared" si="3"/>
        <v>0</v>
      </c>
      <c r="T12" s="495">
        <f t="shared" si="4"/>
        <v>0</v>
      </c>
      <c r="U12" s="495">
        <f t="shared" si="5"/>
        <v>0</v>
      </c>
      <c r="V12" s="495">
        <f t="shared" si="6"/>
        <v>0</v>
      </c>
      <c r="W12" s="495">
        <f t="shared" si="7"/>
        <v>0</v>
      </c>
      <c r="Y12" s="495">
        <f>IF(Coverage!$G$4="Actual",Coverage!$C15,Coverage!$G15*$R12)</f>
        <v>0</v>
      </c>
      <c r="Z12" s="496">
        <f>ROUNDUP(S12*Coverage!H15,0)</f>
        <v>0</v>
      </c>
      <c r="AA12" s="496">
        <f>ROUNDUP(T12*Coverage!I15,0)</f>
        <v>0</v>
      </c>
      <c r="AB12" s="496">
        <f>ROUNDUP(U12*Coverage!J15,0)</f>
        <v>0</v>
      </c>
      <c r="AC12" s="496">
        <f>ROUNDUP(V12*Coverage!K15,0)</f>
        <v>0</v>
      </c>
      <c r="AD12" s="496">
        <f>ROUNDUP(W12*Coverage!L15,0)</f>
        <v>0</v>
      </c>
    </row>
    <row r="13" spans="1:30">
      <c r="A13" s="1">
        <v>8</v>
      </c>
      <c r="B13" s="494">
        <f>Package_Services!B15</f>
        <v>0</v>
      </c>
      <c r="C13" s="494">
        <f>Package_Services!C15</f>
        <v>0</v>
      </c>
      <c r="D13" s="494">
        <f>Package_Services!D15</f>
        <v>0</v>
      </c>
      <c r="E13" s="494">
        <f>Package_Services!E15</f>
        <v>0</v>
      </c>
      <c r="F13" s="494">
        <f>Package_Services!F15</f>
        <v>0</v>
      </c>
      <c r="G13" s="491">
        <f>Package_Services!G15</f>
        <v>0</v>
      </c>
      <c r="H13" s="494">
        <f>Package_Services!H15</f>
        <v>0</v>
      </c>
      <c r="I13" s="494">
        <f>Package_Services!I15</f>
        <v>0</v>
      </c>
      <c r="K13" s="92">
        <f t="shared" si="0"/>
        <v>0</v>
      </c>
      <c r="L13" s="92">
        <f t="shared" si="0"/>
        <v>0</v>
      </c>
      <c r="M13" s="92">
        <f t="shared" si="0"/>
        <v>0</v>
      </c>
      <c r="N13" s="92">
        <f t="shared" si="0"/>
        <v>0</v>
      </c>
      <c r="O13" s="92">
        <f t="shared" si="0"/>
        <v>0</v>
      </c>
      <c r="P13" s="92">
        <f t="shared" si="0"/>
        <v>0</v>
      </c>
      <c r="R13" s="495">
        <f t="shared" si="2"/>
        <v>0</v>
      </c>
      <c r="S13" s="495">
        <f t="shared" si="3"/>
        <v>0</v>
      </c>
      <c r="T13" s="495">
        <f t="shared" si="4"/>
        <v>0</v>
      </c>
      <c r="U13" s="495">
        <f t="shared" si="5"/>
        <v>0</v>
      </c>
      <c r="V13" s="495">
        <f t="shared" si="6"/>
        <v>0</v>
      </c>
      <c r="W13" s="495">
        <f t="shared" si="7"/>
        <v>0</v>
      </c>
      <c r="Y13" s="495">
        <f>IF(Coverage!$G$4="Actual",Coverage!$C16,Coverage!$G16*$R13)</f>
        <v>0</v>
      </c>
      <c r="Z13" s="496">
        <f>ROUNDUP(S13*Coverage!H16,0)</f>
        <v>0</v>
      </c>
      <c r="AA13" s="496">
        <f>ROUNDUP(T13*Coverage!I16,0)</f>
        <v>0</v>
      </c>
      <c r="AB13" s="496">
        <f>ROUNDUP(U13*Coverage!J16,0)</f>
        <v>0</v>
      </c>
      <c r="AC13" s="496">
        <f>ROUNDUP(V13*Coverage!K16,0)</f>
        <v>0</v>
      </c>
      <c r="AD13" s="496">
        <f>ROUNDUP(W13*Coverage!L16,0)</f>
        <v>0</v>
      </c>
    </row>
    <row r="14" spans="1:30">
      <c r="A14" s="1">
        <v>9</v>
      </c>
      <c r="B14" s="494">
        <f>Package_Services!B16</f>
        <v>0</v>
      </c>
      <c r="C14" s="494">
        <f>Package_Services!C16</f>
        <v>0</v>
      </c>
      <c r="D14" s="494">
        <f>Package_Services!D16</f>
        <v>0</v>
      </c>
      <c r="E14" s="494">
        <f>Package_Services!E16</f>
        <v>0</v>
      </c>
      <c r="F14" s="494">
        <f>Package_Services!F16</f>
        <v>0</v>
      </c>
      <c r="G14" s="491">
        <f>Package_Services!G16</f>
        <v>0</v>
      </c>
      <c r="H14" s="494">
        <f>Package_Services!H16</f>
        <v>0</v>
      </c>
      <c r="I14" s="494">
        <f>Package_Services!I16</f>
        <v>0</v>
      </c>
      <c r="K14" s="92">
        <f t="shared" si="0"/>
        <v>0</v>
      </c>
      <c r="L14" s="92">
        <f t="shared" si="0"/>
        <v>0</v>
      </c>
      <c r="M14" s="92">
        <f t="shared" si="0"/>
        <v>0</v>
      </c>
      <c r="N14" s="92">
        <f t="shared" si="0"/>
        <v>0</v>
      </c>
      <c r="O14" s="92">
        <f t="shared" si="0"/>
        <v>0</v>
      </c>
      <c r="P14" s="92">
        <f t="shared" si="0"/>
        <v>0</v>
      </c>
      <c r="R14" s="495">
        <f t="shared" si="2"/>
        <v>0</v>
      </c>
      <c r="S14" s="495">
        <f t="shared" si="3"/>
        <v>0</v>
      </c>
      <c r="T14" s="495">
        <f t="shared" si="4"/>
        <v>0</v>
      </c>
      <c r="U14" s="495">
        <f t="shared" si="5"/>
        <v>0</v>
      </c>
      <c r="V14" s="495">
        <f t="shared" si="6"/>
        <v>0</v>
      </c>
      <c r="W14" s="495">
        <f t="shared" si="7"/>
        <v>0</v>
      </c>
      <c r="Y14" s="495">
        <f>IF(Coverage!$G$4="Actual",Coverage!$C17,Coverage!$G17*$R14)</f>
        <v>0</v>
      </c>
      <c r="Z14" s="496">
        <f>ROUNDUP(S14*Coverage!H17,0)</f>
        <v>0</v>
      </c>
      <c r="AA14" s="496">
        <f>ROUNDUP(T14*Coverage!I17,0)</f>
        <v>0</v>
      </c>
      <c r="AB14" s="496">
        <f>ROUNDUP(U14*Coverage!J17,0)</f>
        <v>0</v>
      </c>
      <c r="AC14" s="496">
        <f>ROUNDUP(V14*Coverage!K17,0)</f>
        <v>0</v>
      </c>
      <c r="AD14" s="496">
        <f>ROUNDUP(W14*Coverage!L17,0)</f>
        <v>0</v>
      </c>
    </row>
    <row r="15" spans="1:30">
      <c r="A15" s="1">
        <v>10</v>
      </c>
      <c r="B15" s="494">
        <f>Package_Services!B17</f>
        <v>0</v>
      </c>
      <c r="C15" s="494">
        <f>Package_Services!C17</f>
        <v>0</v>
      </c>
      <c r="D15" s="494">
        <f>Package_Services!D17</f>
        <v>0</v>
      </c>
      <c r="E15" s="494">
        <f>Package_Services!E17</f>
        <v>0</v>
      </c>
      <c r="F15" s="494">
        <f>Package_Services!F17</f>
        <v>0</v>
      </c>
      <c r="G15" s="491">
        <f>Package_Services!G17</f>
        <v>0</v>
      </c>
      <c r="H15" s="494">
        <f>Package_Services!H17</f>
        <v>0</v>
      </c>
      <c r="I15" s="494">
        <f>Package_Services!I17</f>
        <v>0</v>
      </c>
      <c r="K15" s="92">
        <f t="shared" si="0"/>
        <v>0</v>
      </c>
      <c r="L15" s="92">
        <f t="shared" si="0"/>
        <v>0</v>
      </c>
      <c r="M15" s="92">
        <f t="shared" si="0"/>
        <v>0</v>
      </c>
      <c r="N15" s="92">
        <f t="shared" si="0"/>
        <v>0</v>
      </c>
      <c r="O15" s="92">
        <f t="shared" si="0"/>
        <v>0</v>
      </c>
      <c r="P15" s="92">
        <f t="shared" si="0"/>
        <v>0</v>
      </c>
      <c r="R15" s="495">
        <f t="shared" si="2"/>
        <v>0</v>
      </c>
      <c r="S15" s="495">
        <f t="shared" si="3"/>
        <v>0</v>
      </c>
      <c r="T15" s="495">
        <f t="shared" si="4"/>
        <v>0</v>
      </c>
      <c r="U15" s="495">
        <f t="shared" si="5"/>
        <v>0</v>
      </c>
      <c r="V15" s="495">
        <f t="shared" si="6"/>
        <v>0</v>
      </c>
      <c r="W15" s="495">
        <f t="shared" si="7"/>
        <v>0</v>
      </c>
      <c r="Y15" s="495">
        <f>IF(Coverage!$G$4="Actual",Coverage!$C18,Coverage!$G18*$R15)</f>
        <v>0</v>
      </c>
      <c r="Z15" s="496">
        <f>ROUNDUP(S15*Coverage!H18,0)</f>
        <v>0</v>
      </c>
      <c r="AA15" s="496">
        <f>ROUNDUP(T15*Coverage!I18,0)</f>
        <v>0</v>
      </c>
      <c r="AB15" s="496">
        <f>ROUNDUP(U15*Coverage!J18,0)</f>
        <v>0</v>
      </c>
      <c r="AC15" s="496">
        <f>ROUNDUP(V15*Coverage!K18,0)</f>
        <v>0</v>
      </c>
      <c r="AD15" s="496">
        <f>ROUNDUP(W15*Coverage!L18,0)</f>
        <v>0</v>
      </c>
    </row>
    <row r="16" spans="1:30">
      <c r="A16" s="1">
        <v>11</v>
      </c>
      <c r="B16" s="494">
        <f>Package_Services!B18</f>
        <v>0</v>
      </c>
      <c r="C16" s="494">
        <f>Package_Services!C18</f>
        <v>0</v>
      </c>
      <c r="D16" s="494">
        <f>Package_Services!D18</f>
        <v>0</v>
      </c>
      <c r="E16" s="494">
        <f>Package_Services!E18</f>
        <v>0</v>
      </c>
      <c r="F16" s="494">
        <f>Package_Services!F18</f>
        <v>0</v>
      </c>
      <c r="G16" s="491">
        <f>Package_Services!G18</f>
        <v>0</v>
      </c>
      <c r="H16" s="494">
        <f>Package_Services!H18</f>
        <v>0</v>
      </c>
      <c r="I16" s="494">
        <f>Package_Services!I18</f>
        <v>0</v>
      </c>
      <c r="K16" s="92">
        <f t="shared" ref="K16:P25" si="8">IF($D16=0,0,VLOOKUP($D16,lookup_demography,K$3,FALSE))</f>
        <v>0</v>
      </c>
      <c r="L16" s="92">
        <f t="shared" si="8"/>
        <v>0</v>
      </c>
      <c r="M16" s="92">
        <f t="shared" si="8"/>
        <v>0</v>
      </c>
      <c r="N16" s="92">
        <f t="shared" si="8"/>
        <v>0</v>
      </c>
      <c r="O16" s="92">
        <f t="shared" si="8"/>
        <v>0</v>
      </c>
      <c r="P16" s="92">
        <f t="shared" si="8"/>
        <v>0</v>
      </c>
      <c r="R16" s="495">
        <f t="shared" si="2"/>
        <v>0</v>
      </c>
      <c r="S16" s="495">
        <f t="shared" si="3"/>
        <v>0</v>
      </c>
      <c r="T16" s="495">
        <f t="shared" si="4"/>
        <v>0</v>
      </c>
      <c r="U16" s="495">
        <f t="shared" si="5"/>
        <v>0</v>
      </c>
      <c r="V16" s="495">
        <f t="shared" si="6"/>
        <v>0</v>
      </c>
      <c r="W16" s="495">
        <f t="shared" si="7"/>
        <v>0</v>
      </c>
      <c r="Y16" s="495">
        <f>IF(Coverage!$G$4="Actual",Coverage!$C19,Coverage!$G19*$R16)</f>
        <v>0</v>
      </c>
      <c r="Z16" s="496">
        <f>ROUNDUP(S16*Coverage!H19,0)</f>
        <v>0</v>
      </c>
      <c r="AA16" s="496">
        <f>ROUNDUP(T16*Coverage!I19,0)</f>
        <v>0</v>
      </c>
      <c r="AB16" s="496">
        <f>ROUNDUP(U16*Coverage!J19,0)</f>
        <v>0</v>
      </c>
      <c r="AC16" s="496">
        <f>ROUNDUP(V16*Coverage!K19,0)</f>
        <v>0</v>
      </c>
      <c r="AD16" s="496">
        <f>ROUNDUP(W16*Coverage!L19,0)</f>
        <v>0</v>
      </c>
    </row>
    <row r="17" spans="1:30" ht="14.7" customHeight="1">
      <c r="A17" s="1">
        <v>12</v>
      </c>
      <c r="B17" s="494">
        <f>Package_Services!B19</f>
        <v>0</v>
      </c>
      <c r="C17" s="494">
        <f>Package_Services!C19</f>
        <v>0</v>
      </c>
      <c r="D17" s="494">
        <f>Package_Services!D19</f>
        <v>0</v>
      </c>
      <c r="E17" s="494">
        <f>Package_Services!E19</f>
        <v>0</v>
      </c>
      <c r="F17" s="494">
        <f>Package_Services!F19</f>
        <v>0</v>
      </c>
      <c r="G17" s="491">
        <f>Package_Services!G19</f>
        <v>0</v>
      </c>
      <c r="H17" s="494">
        <f>Package_Services!H19</f>
        <v>0</v>
      </c>
      <c r="I17" s="494">
        <f>Package_Services!I19</f>
        <v>0</v>
      </c>
      <c r="K17" s="92">
        <f t="shared" si="8"/>
        <v>0</v>
      </c>
      <c r="L17" s="92">
        <f t="shared" si="8"/>
        <v>0</v>
      </c>
      <c r="M17" s="92">
        <f t="shared" si="8"/>
        <v>0</v>
      </c>
      <c r="N17" s="92">
        <f t="shared" si="8"/>
        <v>0</v>
      </c>
      <c r="O17" s="92">
        <f t="shared" si="8"/>
        <v>0</v>
      </c>
      <c r="P17" s="92">
        <f t="shared" si="8"/>
        <v>0</v>
      </c>
      <c r="R17" s="495">
        <f t="shared" si="2"/>
        <v>0</v>
      </c>
      <c r="S17" s="495">
        <f t="shared" si="3"/>
        <v>0</v>
      </c>
      <c r="T17" s="495">
        <f t="shared" si="4"/>
        <v>0</v>
      </c>
      <c r="U17" s="495">
        <f t="shared" si="5"/>
        <v>0</v>
      </c>
      <c r="V17" s="495">
        <f t="shared" si="6"/>
        <v>0</v>
      </c>
      <c r="W17" s="495">
        <f t="shared" si="7"/>
        <v>0</v>
      </c>
      <c r="Y17" s="495">
        <f>IF(Coverage!$G$4="Actual",Coverage!$C20,Coverage!$G20*$R17)</f>
        <v>0</v>
      </c>
      <c r="Z17" s="496">
        <f>ROUNDUP(S17*Coverage!H20,0)</f>
        <v>0</v>
      </c>
      <c r="AA17" s="496">
        <f>ROUNDUP(T17*Coverage!I20,0)</f>
        <v>0</v>
      </c>
      <c r="AB17" s="496">
        <f>ROUNDUP(U17*Coverage!J20,0)</f>
        <v>0</v>
      </c>
      <c r="AC17" s="496">
        <f>ROUNDUP(V17*Coverage!K20,0)</f>
        <v>0</v>
      </c>
      <c r="AD17" s="496">
        <f>ROUNDUP(W17*Coverage!L20,0)</f>
        <v>0</v>
      </c>
    </row>
    <row r="18" spans="1:30">
      <c r="A18" s="1">
        <v>13</v>
      </c>
      <c r="B18" s="494">
        <f>Package_Services!B20</f>
        <v>0</v>
      </c>
      <c r="C18" s="494">
        <f>Package_Services!C20</f>
        <v>0</v>
      </c>
      <c r="D18" s="494">
        <f>Package_Services!D20</f>
        <v>0</v>
      </c>
      <c r="E18" s="494">
        <f>Package_Services!E20</f>
        <v>0</v>
      </c>
      <c r="F18" s="494">
        <f>Package_Services!F20</f>
        <v>0</v>
      </c>
      <c r="G18" s="491">
        <f>Package_Services!G20</f>
        <v>0</v>
      </c>
      <c r="H18" s="494">
        <f>Package_Services!H20</f>
        <v>0</v>
      </c>
      <c r="I18" s="494">
        <f>Package_Services!I20</f>
        <v>0</v>
      </c>
      <c r="K18" s="92">
        <f t="shared" si="8"/>
        <v>0</v>
      </c>
      <c r="L18" s="92">
        <f t="shared" si="8"/>
        <v>0</v>
      </c>
      <c r="M18" s="92">
        <f t="shared" si="8"/>
        <v>0</v>
      </c>
      <c r="N18" s="92">
        <f t="shared" si="8"/>
        <v>0</v>
      </c>
      <c r="O18" s="92">
        <f t="shared" si="8"/>
        <v>0</v>
      </c>
      <c r="P18" s="92">
        <f t="shared" si="8"/>
        <v>0</v>
      </c>
      <c r="R18" s="495">
        <f t="shared" si="2"/>
        <v>0</v>
      </c>
      <c r="S18" s="495">
        <f t="shared" si="3"/>
        <v>0</v>
      </c>
      <c r="T18" s="495">
        <f t="shared" si="4"/>
        <v>0</v>
      </c>
      <c r="U18" s="495">
        <f t="shared" si="5"/>
        <v>0</v>
      </c>
      <c r="V18" s="495">
        <f t="shared" si="6"/>
        <v>0</v>
      </c>
      <c r="W18" s="495">
        <f t="shared" si="7"/>
        <v>0</v>
      </c>
      <c r="Y18" s="495">
        <f>IF(Coverage!$G$4="Actual",Coverage!$C21,Coverage!$G21*$R18)</f>
        <v>0</v>
      </c>
      <c r="Z18" s="496">
        <f>ROUNDUP(S18*Coverage!H21,0)</f>
        <v>0</v>
      </c>
      <c r="AA18" s="496">
        <f>ROUNDUP(T18*Coverage!I21,0)</f>
        <v>0</v>
      </c>
      <c r="AB18" s="496">
        <f>ROUNDUP(U18*Coverage!J21,0)</f>
        <v>0</v>
      </c>
      <c r="AC18" s="496">
        <f>ROUNDUP(V18*Coverage!K21,0)</f>
        <v>0</v>
      </c>
      <c r="AD18" s="496">
        <f>ROUNDUP(W18*Coverage!L21,0)</f>
        <v>0</v>
      </c>
    </row>
    <row r="19" spans="1:30">
      <c r="A19" s="1">
        <v>14</v>
      </c>
      <c r="B19" s="494">
        <f>Package_Services!B21</f>
        <v>0</v>
      </c>
      <c r="C19" s="494">
        <f>Package_Services!C21</f>
        <v>0</v>
      </c>
      <c r="D19" s="494">
        <f>Package_Services!D21</f>
        <v>0</v>
      </c>
      <c r="E19" s="494">
        <f>Package_Services!E21</f>
        <v>0</v>
      </c>
      <c r="F19" s="494">
        <f>Package_Services!F21</f>
        <v>0</v>
      </c>
      <c r="G19" s="491">
        <f>Package_Services!G21</f>
        <v>0</v>
      </c>
      <c r="H19" s="494">
        <f>Package_Services!H21</f>
        <v>0</v>
      </c>
      <c r="I19" s="494">
        <f>Package_Services!I21</f>
        <v>0</v>
      </c>
      <c r="K19" s="92">
        <f t="shared" si="8"/>
        <v>0</v>
      </c>
      <c r="L19" s="92">
        <f t="shared" si="8"/>
        <v>0</v>
      </c>
      <c r="M19" s="92">
        <f t="shared" si="8"/>
        <v>0</v>
      </c>
      <c r="N19" s="92">
        <f t="shared" si="8"/>
        <v>0</v>
      </c>
      <c r="O19" s="92">
        <f t="shared" si="8"/>
        <v>0</v>
      </c>
      <c r="P19" s="92">
        <f t="shared" si="8"/>
        <v>0</v>
      </c>
      <c r="R19" s="495">
        <f t="shared" si="2"/>
        <v>0</v>
      </c>
      <c r="S19" s="495">
        <f t="shared" si="3"/>
        <v>0</v>
      </c>
      <c r="T19" s="495">
        <f t="shared" si="4"/>
        <v>0</v>
      </c>
      <c r="U19" s="495">
        <f t="shared" si="5"/>
        <v>0</v>
      </c>
      <c r="V19" s="495">
        <f t="shared" si="6"/>
        <v>0</v>
      </c>
      <c r="W19" s="495">
        <f t="shared" si="7"/>
        <v>0</v>
      </c>
      <c r="Y19" s="495">
        <f>IF(Coverage!$G$4="Actual",Coverage!$C22,Coverage!$G22*$R19)</f>
        <v>0</v>
      </c>
      <c r="Z19" s="496">
        <f>ROUNDUP(S19*Coverage!H22,0)</f>
        <v>0</v>
      </c>
      <c r="AA19" s="496">
        <f>ROUNDUP(T19*Coverage!I22,0)</f>
        <v>0</v>
      </c>
      <c r="AB19" s="496">
        <f>ROUNDUP(U19*Coverage!J22,0)</f>
        <v>0</v>
      </c>
      <c r="AC19" s="496">
        <f>ROUNDUP(V19*Coverage!K22,0)</f>
        <v>0</v>
      </c>
      <c r="AD19" s="496">
        <f>ROUNDUP(W19*Coverage!L22,0)</f>
        <v>0</v>
      </c>
    </row>
    <row r="20" spans="1:30">
      <c r="A20" s="1">
        <v>15</v>
      </c>
      <c r="B20" s="494">
        <f>Package_Services!B22</f>
        <v>0</v>
      </c>
      <c r="C20" s="494">
        <f>Package_Services!C22</f>
        <v>0</v>
      </c>
      <c r="D20" s="494">
        <f>Package_Services!D22</f>
        <v>0</v>
      </c>
      <c r="E20" s="494">
        <f>Package_Services!E22</f>
        <v>0</v>
      </c>
      <c r="F20" s="494">
        <f>Package_Services!F22</f>
        <v>0</v>
      </c>
      <c r="G20" s="491">
        <f>Package_Services!G22</f>
        <v>0</v>
      </c>
      <c r="H20" s="494">
        <f>Package_Services!H22</f>
        <v>0</v>
      </c>
      <c r="I20" s="494">
        <f>Package_Services!I22</f>
        <v>0</v>
      </c>
      <c r="K20" s="92">
        <f t="shared" si="8"/>
        <v>0</v>
      </c>
      <c r="L20" s="92">
        <f t="shared" si="8"/>
        <v>0</v>
      </c>
      <c r="M20" s="92">
        <f t="shared" si="8"/>
        <v>0</v>
      </c>
      <c r="N20" s="92">
        <f t="shared" si="8"/>
        <v>0</v>
      </c>
      <c r="O20" s="92">
        <f t="shared" si="8"/>
        <v>0</v>
      </c>
      <c r="P20" s="92">
        <f t="shared" si="8"/>
        <v>0</v>
      </c>
      <c r="R20" s="495">
        <f t="shared" si="2"/>
        <v>0</v>
      </c>
      <c r="S20" s="495">
        <f t="shared" si="3"/>
        <v>0</v>
      </c>
      <c r="T20" s="495">
        <f t="shared" si="4"/>
        <v>0</v>
      </c>
      <c r="U20" s="495">
        <f t="shared" si="5"/>
        <v>0</v>
      </c>
      <c r="V20" s="495">
        <f t="shared" si="6"/>
        <v>0</v>
      </c>
      <c r="W20" s="495">
        <f t="shared" si="7"/>
        <v>0</v>
      </c>
      <c r="Y20" s="495">
        <f>IF(Coverage!$G$4="Actual",Coverage!$C23,Coverage!$G23*$R20)</f>
        <v>0</v>
      </c>
      <c r="Z20" s="496">
        <f>ROUNDUP(S20*Coverage!H23,0)</f>
        <v>0</v>
      </c>
      <c r="AA20" s="496">
        <f>ROUNDUP(T20*Coverage!I23,0)</f>
        <v>0</v>
      </c>
      <c r="AB20" s="496">
        <f>ROUNDUP(U20*Coverage!J23,0)</f>
        <v>0</v>
      </c>
      <c r="AC20" s="496">
        <f>ROUNDUP(V20*Coverage!K23,0)</f>
        <v>0</v>
      </c>
      <c r="AD20" s="496">
        <f>ROUNDUP(W20*Coverage!L23,0)</f>
        <v>0</v>
      </c>
    </row>
    <row r="21" spans="1:30">
      <c r="A21" s="1">
        <v>16</v>
      </c>
      <c r="B21" s="494">
        <f>Package_Services!B23</f>
        <v>0</v>
      </c>
      <c r="C21" s="494">
        <f>Package_Services!C23</f>
        <v>0</v>
      </c>
      <c r="D21" s="494">
        <f>Package_Services!D23</f>
        <v>0</v>
      </c>
      <c r="E21" s="494">
        <f>Package_Services!E23</f>
        <v>0</v>
      </c>
      <c r="F21" s="494">
        <f>Package_Services!F23</f>
        <v>0</v>
      </c>
      <c r="G21" s="491">
        <f>Package_Services!G23</f>
        <v>0</v>
      </c>
      <c r="H21" s="494">
        <f>Package_Services!H23</f>
        <v>0</v>
      </c>
      <c r="I21" s="494">
        <f>Package_Services!I23</f>
        <v>0</v>
      </c>
      <c r="K21" s="92">
        <f t="shared" si="8"/>
        <v>0</v>
      </c>
      <c r="L21" s="92">
        <f t="shared" si="8"/>
        <v>0</v>
      </c>
      <c r="M21" s="92">
        <f t="shared" si="8"/>
        <v>0</v>
      </c>
      <c r="N21" s="92">
        <f t="shared" si="8"/>
        <v>0</v>
      </c>
      <c r="O21" s="92">
        <f t="shared" si="8"/>
        <v>0</v>
      </c>
      <c r="P21" s="92">
        <f t="shared" si="8"/>
        <v>0</v>
      </c>
      <c r="R21" s="495">
        <f t="shared" si="2"/>
        <v>0</v>
      </c>
      <c r="S21" s="495">
        <f t="shared" si="3"/>
        <v>0</v>
      </c>
      <c r="T21" s="495">
        <f t="shared" si="4"/>
        <v>0</v>
      </c>
      <c r="U21" s="495">
        <f t="shared" si="5"/>
        <v>0</v>
      </c>
      <c r="V21" s="495">
        <f t="shared" si="6"/>
        <v>0</v>
      </c>
      <c r="W21" s="495">
        <f t="shared" si="7"/>
        <v>0</v>
      </c>
      <c r="Y21" s="495">
        <f>IF(Coverage!$G$4="Actual",Coverage!$C24,Coverage!$G24*$R21)</f>
        <v>0</v>
      </c>
      <c r="Z21" s="496">
        <f>ROUNDUP(S21*Coverage!H24,0)</f>
        <v>0</v>
      </c>
      <c r="AA21" s="496">
        <f>ROUNDUP(T21*Coverage!I24,0)</f>
        <v>0</v>
      </c>
      <c r="AB21" s="496">
        <f>ROUNDUP(U21*Coverage!J24,0)</f>
        <v>0</v>
      </c>
      <c r="AC21" s="496">
        <f>ROUNDUP(V21*Coverage!K24,0)</f>
        <v>0</v>
      </c>
      <c r="AD21" s="496">
        <f>ROUNDUP(W21*Coverage!L24,0)</f>
        <v>0</v>
      </c>
    </row>
    <row r="22" spans="1:30">
      <c r="A22" s="1">
        <v>17</v>
      </c>
      <c r="B22" s="494">
        <f>Package_Services!B24</f>
        <v>0</v>
      </c>
      <c r="C22" s="494">
        <f>Package_Services!C24</f>
        <v>0</v>
      </c>
      <c r="D22" s="494">
        <f>Package_Services!D24</f>
        <v>0</v>
      </c>
      <c r="E22" s="494">
        <f>Package_Services!E24</f>
        <v>0</v>
      </c>
      <c r="F22" s="494">
        <f>Package_Services!F24</f>
        <v>0</v>
      </c>
      <c r="G22" s="491">
        <f>Package_Services!G24</f>
        <v>0</v>
      </c>
      <c r="H22" s="494">
        <f>Package_Services!H24</f>
        <v>0</v>
      </c>
      <c r="I22" s="494">
        <f>Package_Services!I24</f>
        <v>0</v>
      </c>
      <c r="K22" s="92">
        <f t="shared" si="8"/>
        <v>0</v>
      </c>
      <c r="L22" s="92">
        <f t="shared" si="8"/>
        <v>0</v>
      </c>
      <c r="M22" s="92">
        <f t="shared" si="8"/>
        <v>0</v>
      </c>
      <c r="N22" s="92">
        <f t="shared" si="8"/>
        <v>0</v>
      </c>
      <c r="O22" s="92">
        <f t="shared" si="8"/>
        <v>0</v>
      </c>
      <c r="P22" s="92">
        <f t="shared" si="8"/>
        <v>0</v>
      </c>
      <c r="R22" s="495">
        <f t="shared" si="2"/>
        <v>0</v>
      </c>
      <c r="S22" s="495">
        <f t="shared" si="3"/>
        <v>0</v>
      </c>
      <c r="T22" s="495">
        <f t="shared" si="4"/>
        <v>0</v>
      </c>
      <c r="U22" s="495">
        <f t="shared" si="5"/>
        <v>0</v>
      </c>
      <c r="V22" s="495">
        <f t="shared" si="6"/>
        <v>0</v>
      </c>
      <c r="W22" s="495">
        <f t="shared" si="7"/>
        <v>0</v>
      </c>
      <c r="Y22" s="495">
        <f>IF(Coverage!$G$4="Actual",Coverage!$C25,Coverage!$G25*$R22)</f>
        <v>0</v>
      </c>
      <c r="Z22" s="496">
        <f>ROUNDUP(S22*Coverage!H25,0)</f>
        <v>0</v>
      </c>
      <c r="AA22" s="496">
        <f>ROUNDUP(T22*Coverage!I25,0)</f>
        <v>0</v>
      </c>
      <c r="AB22" s="496">
        <f>ROUNDUP(U22*Coverage!J25,0)</f>
        <v>0</v>
      </c>
      <c r="AC22" s="496">
        <f>ROUNDUP(V22*Coverage!K25,0)</f>
        <v>0</v>
      </c>
      <c r="AD22" s="496">
        <f>ROUNDUP(W22*Coverage!L25,0)</f>
        <v>0</v>
      </c>
    </row>
    <row r="23" spans="1:30">
      <c r="A23" s="1">
        <v>18</v>
      </c>
      <c r="B23" s="494">
        <f>Package_Services!B25</f>
        <v>0</v>
      </c>
      <c r="C23" s="494">
        <f>Package_Services!C25</f>
        <v>0</v>
      </c>
      <c r="D23" s="494">
        <f>Package_Services!D25</f>
        <v>0</v>
      </c>
      <c r="E23" s="494">
        <f>Package_Services!E25</f>
        <v>0</v>
      </c>
      <c r="F23" s="494">
        <f>Package_Services!F25</f>
        <v>0</v>
      </c>
      <c r="G23" s="491">
        <f>Package_Services!G25</f>
        <v>0</v>
      </c>
      <c r="H23" s="494">
        <f>Package_Services!H25</f>
        <v>0</v>
      </c>
      <c r="I23" s="494">
        <f>Package_Services!I25</f>
        <v>0</v>
      </c>
      <c r="K23" s="92">
        <f t="shared" si="8"/>
        <v>0</v>
      </c>
      <c r="L23" s="92">
        <f t="shared" si="8"/>
        <v>0</v>
      </c>
      <c r="M23" s="92">
        <f t="shared" si="8"/>
        <v>0</v>
      </c>
      <c r="N23" s="92">
        <f t="shared" si="8"/>
        <v>0</v>
      </c>
      <c r="O23" s="92">
        <f t="shared" si="8"/>
        <v>0</v>
      </c>
      <c r="P23" s="92">
        <f t="shared" si="8"/>
        <v>0</v>
      </c>
      <c r="R23" s="495">
        <f t="shared" si="2"/>
        <v>0</v>
      </c>
      <c r="S23" s="495">
        <f t="shared" si="3"/>
        <v>0</v>
      </c>
      <c r="T23" s="495">
        <f t="shared" si="4"/>
        <v>0</v>
      </c>
      <c r="U23" s="495">
        <f t="shared" si="5"/>
        <v>0</v>
      </c>
      <c r="V23" s="495">
        <f t="shared" si="6"/>
        <v>0</v>
      </c>
      <c r="W23" s="495">
        <f t="shared" si="7"/>
        <v>0</v>
      </c>
      <c r="Y23" s="495">
        <f>IF(Coverage!$G$4="Actual",Coverage!$C26,Coverage!$G26*$R23)</f>
        <v>0</v>
      </c>
      <c r="Z23" s="496">
        <f>ROUNDUP(S23*Coverage!H26,0)</f>
        <v>0</v>
      </c>
      <c r="AA23" s="496">
        <f>ROUNDUP(T23*Coverage!I26,0)</f>
        <v>0</v>
      </c>
      <c r="AB23" s="496">
        <f>ROUNDUP(U23*Coverage!J26,0)</f>
        <v>0</v>
      </c>
      <c r="AC23" s="496">
        <f>ROUNDUP(V23*Coverage!K26,0)</f>
        <v>0</v>
      </c>
      <c r="AD23" s="496">
        <f>ROUNDUP(W23*Coverage!L26,0)</f>
        <v>0</v>
      </c>
    </row>
    <row r="24" spans="1:30">
      <c r="A24" s="1">
        <v>19</v>
      </c>
      <c r="B24" s="494">
        <f>Package_Services!B26</f>
        <v>0</v>
      </c>
      <c r="C24" s="494">
        <f>Package_Services!C26</f>
        <v>0</v>
      </c>
      <c r="D24" s="494">
        <f>Package_Services!D26</f>
        <v>0</v>
      </c>
      <c r="E24" s="494">
        <f>Package_Services!E26</f>
        <v>0</v>
      </c>
      <c r="F24" s="494">
        <f>Package_Services!F26</f>
        <v>0</v>
      </c>
      <c r="G24" s="491">
        <f>Package_Services!G26</f>
        <v>0</v>
      </c>
      <c r="H24" s="494">
        <f>Package_Services!H26</f>
        <v>0</v>
      </c>
      <c r="I24" s="494">
        <f>Package_Services!I26</f>
        <v>0</v>
      </c>
      <c r="K24" s="92">
        <f t="shared" si="8"/>
        <v>0</v>
      </c>
      <c r="L24" s="92">
        <f t="shared" si="8"/>
        <v>0</v>
      </c>
      <c r="M24" s="92">
        <f t="shared" si="8"/>
        <v>0</v>
      </c>
      <c r="N24" s="92">
        <f t="shared" si="8"/>
        <v>0</v>
      </c>
      <c r="O24" s="92">
        <f t="shared" si="8"/>
        <v>0</v>
      </c>
      <c r="P24" s="92">
        <f t="shared" si="8"/>
        <v>0</v>
      </c>
      <c r="R24" s="495">
        <f t="shared" si="2"/>
        <v>0</v>
      </c>
      <c r="S24" s="495">
        <f t="shared" si="3"/>
        <v>0</v>
      </c>
      <c r="T24" s="495">
        <f t="shared" si="4"/>
        <v>0</v>
      </c>
      <c r="U24" s="495">
        <f t="shared" si="5"/>
        <v>0</v>
      </c>
      <c r="V24" s="495">
        <f t="shared" si="6"/>
        <v>0</v>
      </c>
      <c r="W24" s="495">
        <f t="shared" si="7"/>
        <v>0</v>
      </c>
      <c r="Y24" s="495">
        <f>IF(Coverage!$G$4="Actual",Coverage!$C27,Coverage!$G27*$R24)</f>
        <v>0</v>
      </c>
      <c r="Z24" s="496">
        <f>ROUNDUP(S24*Coverage!H27,0)</f>
        <v>0</v>
      </c>
      <c r="AA24" s="496">
        <f>ROUNDUP(T24*Coverage!I27,0)</f>
        <v>0</v>
      </c>
      <c r="AB24" s="496">
        <f>ROUNDUP(U24*Coverage!J27,0)</f>
        <v>0</v>
      </c>
      <c r="AC24" s="496">
        <f>ROUNDUP(V24*Coverage!K27,0)</f>
        <v>0</v>
      </c>
      <c r="AD24" s="496">
        <f>ROUNDUP(W24*Coverage!L27,0)</f>
        <v>0</v>
      </c>
    </row>
    <row r="25" spans="1:30">
      <c r="A25" s="1">
        <v>20</v>
      </c>
      <c r="B25" s="494">
        <f>Package_Services!B27</f>
        <v>0</v>
      </c>
      <c r="C25" s="494">
        <f>Package_Services!C27</f>
        <v>0</v>
      </c>
      <c r="D25" s="494">
        <f>Package_Services!D27</f>
        <v>0</v>
      </c>
      <c r="E25" s="494">
        <f>Package_Services!E27</f>
        <v>0</v>
      </c>
      <c r="F25" s="494">
        <f>Package_Services!F27</f>
        <v>0</v>
      </c>
      <c r="G25" s="491">
        <f>Package_Services!G27</f>
        <v>0</v>
      </c>
      <c r="H25" s="494">
        <f>Package_Services!H27</f>
        <v>0</v>
      </c>
      <c r="I25" s="494">
        <f>Package_Services!I27</f>
        <v>0</v>
      </c>
      <c r="K25" s="92">
        <f t="shared" si="8"/>
        <v>0</v>
      </c>
      <c r="L25" s="92">
        <f t="shared" si="8"/>
        <v>0</v>
      </c>
      <c r="M25" s="92">
        <f t="shared" si="8"/>
        <v>0</v>
      </c>
      <c r="N25" s="92">
        <f t="shared" si="8"/>
        <v>0</v>
      </c>
      <c r="O25" s="92">
        <f t="shared" si="8"/>
        <v>0</v>
      </c>
      <c r="P25" s="92">
        <f t="shared" si="8"/>
        <v>0</v>
      </c>
      <c r="R25" s="495">
        <f t="shared" si="2"/>
        <v>0</v>
      </c>
      <c r="S25" s="495">
        <f t="shared" si="3"/>
        <v>0</v>
      </c>
      <c r="T25" s="495">
        <f t="shared" si="4"/>
        <v>0</v>
      </c>
      <c r="U25" s="495">
        <f t="shared" si="5"/>
        <v>0</v>
      </c>
      <c r="V25" s="495">
        <f t="shared" si="6"/>
        <v>0</v>
      </c>
      <c r="W25" s="495">
        <f t="shared" si="7"/>
        <v>0</v>
      </c>
      <c r="Y25" s="495">
        <f>IF(Coverage!$G$4="Actual",Coverage!$C28,Coverage!$G28*$R25)</f>
        <v>0</v>
      </c>
      <c r="Z25" s="496">
        <f>ROUNDUP(S25*Coverage!H28,0)</f>
        <v>0</v>
      </c>
      <c r="AA25" s="496">
        <f>ROUNDUP(T25*Coverage!I28,0)</f>
        <v>0</v>
      </c>
      <c r="AB25" s="496">
        <f>ROUNDUP(U25*Coverage!J28,0)</f>
        <v>0</v>
      </c>
      <c r="AC25" s="496">
        <f>ROUNDUP(V25*Coverage!K28,0)</f>
        <v>0</v>
      </c>
      <c r="AD25" s="496">
        <f>ROUNDUP(W25*Coverage!L28,0)</f>
        <v>0</v>
      </c>
    </row>
    <row r="26" spans="1:30">
      <c r="A26" s="1">
        <v>21</v>
      </c>
      <c r="B26" s="494">
        <f>Package_Services!B28</f>
        <v>0</v>
      </c>
      <c r="C26" s="494">
        <f>Package_Services!C28</f>
        <v>0</v>
      </c>
      <c r="D26" s="494">
        <f>Package_Services!D28</f>
        <v>0</v>
      </c>
      <c r="E26" s="494">
        <f>Package_Services!E28</f>
        <v>0</v>
      </c>
      <c r="F26" s="494">
        <f>Package_Services!F28</f>
        <v>0</v>
      </c>
      <c r="G26" s="491">
        <f>Package_Services!G28</f>
        <v>0</v>
      </c>
      <c r="H26" s="494">
        <f>Package_Services!H28</f>
        <v>0</v>
      </c>
      <c r="I26" s="494">
        <f>Package_Services!I28</f>
        <v>0</v>
      </c>
      <c r="K26" s="92">
        <f t="shared" ref="K26:P35" si="9">IF($D26=0,0,VLOOKUP($D26,lookup_demography,K$3,FALSE))</f>
        <v>0</v>
      </c>
      <c r="L26" s="92">
        <f t="shared" si="9"/>
        <v>0</v>
      </c>
      <c r="M26" s="92">
        <f t="shared" si="9"/>
        <v>0</v>
      </c>
      <c r="N26" s="92">
        <f t="shared" si="9"/>
        <v>0</v>
      </c>
      <c r="O26" s="92">
        <f t="shared" si="9"/>
        <v>0</v>
      </c>
      <c r="P26" s="92">
        <f t="shared" si="9"/>
        <v>0</v>
      </c>
      <c r="R26" s="495">
        <f t="shared" si="2"/>
        <v>0</v>
      </c>
      <c r="S26" s="495">
        <f t="shared" si="3"/>
        <v>0</v>
      </c>
      <c r="T26" s="495">
        <f t="shared" si="4"/>
        <v>0</v>
      </c>
      <c r="U26" s="495">
        <f t="shared" si="5"/>
        <v>0</v>
      </c>
      <c r="V26" s="495">
        <f t="shared" si="6"/>
        <v>0</v>
      </c>
      <c r="W26" s="495">
        <f t="shared" si="7"/>
        <v>0</v>
      </c>
      <c r="Y26" s="495">
        <f>IF(Coverage!$G$4="Actual",Coverage!$C29,Coverage!$G29*$R26)</f>
        <v>0</v>
      </c>
      <c r="Z26" s="496">
        <f>ROUNDUP(S26*Coverage!H29,0)</f>
        <v>0</v>
      </c>
      <c r="AA26" s="496">
        <f>ROUNDUP(T26*Coverage!I29,0)</f>
        <v>0</v>
      </c>
      <c r="AB26" s="496">
        <f>ROUNDUP(U26*Coverage!J29,0)</f>
        <v>0</v>
      </c>
      <c r="AC26" s="496">
        <f>ROUNDUP(V26*Coverage!K29,0)</f>
        <v>0</v>
      </c>
      <c r="AD26" s="496">
        <f>ROUNDUP(W26*Coverage!L29,0)</f>
        <v>0</v>
      </c>
    </row>
    <row r="27" spans="1:30">
      <c r="A27" s="1">
        <v>22</v>
      </c>
      <c r="B27" s="494">
        <f>Package_Services!B29</f>
        <v>0</v>
      </c>
      <c r="C27" s="494">
        <f>Package_Services!C29</f>
        <v>0</v>
      </c>
      <c r="D27" s="494">
        <f>Package_Services!D29</f>
        <v>0</v>
      </c>
      <c r="E27" s="494">
        <f>Package_Services!E29</f>
        <v>0</v>
      </c>
      <c r="F27" s="494">
        <f>Package_Services!F29</f>
        <v>0</v>
      </c>
      <c r="G27" s="491">
        <f>Package_Services!G29</f>
        <v>0</v>
      </c>
      <c r="H27" s="494">
        <f>Package_Services!H29</f>
        <v>0</v>
      </c>
      <c r="I27" s="494">
        <f>Package_Services!I29</f>
        <v>0</v>
      </c>
      <c r="K27" s="92">
        <f t="shared" si="9"/>
        <v>0</v>
      </c>
      <c r="L27" s="92">
        <f t="shared" si="9"/>
        <v>0</v>
      </c>
      <c r="M27" s="92">
        <f t="shared" si="9"/>
        <v>0</v>
      </c>
      <c r="N27" s="92">
        <f t="shared" si="9"/>
        <v>0</v>
      </c>
      <c r="O27" s="92">
        <f t="shared" si="9"/>
        <v>0</v>
      </c>
      <c r="P27" s="92">
        <f t="shared" si="9"/>
        <v>0</v>
      </c>
      <c r="R27" s="495">
        <f t="shared" si="2"/>
        <v>0</v>
      </c>
      <c r="S27" s="495">
        <f t="shared" si="3"/>
        <v>0</v>
      </c>
      <c r="T27" s="495">
        <f t="shared" si="4"/>
        <v>0</v>
      </c>
      <c r="U27" s="495">
        <f t="shared" si="5"/>
        <v>0</v>
      </c>
      <c r="V27" s="495">
        <f t="shared" si="6"/>
        <v>0</v>
      </c>
      <c r="W27" s="495">
        <f t="shared" si="7"/>
        <v>0</v>
      </c>
      <c r="Y27" s="495">
        <f>IF(Coverage!$G$4="Actual",Coverage!$C30,Coverage!$G30*$R27)</f>
        <v>0</v>
      </c>
      <c r="Z27" s="496">
        <f>ROUNDUP(S27*Coverage!H30,0)</f>
        <v>0</v>
      </c>
      <c r="AA27" s="496">
        <f>ROUNDUP(T27*Coverage!I30,0)</f>
        <v>0</v>
      </c>
      <c r="AB27" s="496">
        <f>ROUNDUP(U27*Coverage!J30,0)</f>
        <v>0</v>
      </c>
      <c r="AC27" s="496">
        <f>ROUNDUP(V27*Coverage!K30,0)</f>
        <v>0</v>
      </c>
      <c r="AD27" s="496">
        <f>ROUNDUP(W27*Coverage!L30,0)</f>
        <v>0</v>
      </c>
    </row>
    <row r="28" spans="1:30">
      <c r="A28" s="1">
        <v>23</v>
      </c>
      <c r="B28" s="494">
        <f>Package_Services!B30</f>
        <v>0</v>
      </c>
      <c r="C28" s="494">
        <f>Package_Services!C30</f>
        <v>0</v>
      </c>
      <c r="D28" s="494">
        <f>Package_Services!D30</f>
        <v>0</v>
      </c>
      <c r="E28" s="494">
        <f>Package_Services!E30</f>
        <v>0</v>
      </c>
      <c r="F28" s="494">
        <f>Package_Services!F30</f>
        <v>0</v>
      </c>
      <c r="G28" s="491">
        <f>Package_Services!G30</f>
        <v>0</v>
      </c>
      <c r="H28" s="494">
        <f>Package_Services!H30</f>
        <v>0</v>
      </c>
      <c r="I28" s="494">
        <f>Package_Services!I30</f>
        <v>0</v>
      </c>
      <c r="K28" s="92">
        <f t="shared" si="9"/>
        <v>0</v>
      </c>
      <c r="L28" s="92">
        <f t="shared" si="9"/>
        <v>0</v>
      </c>
      <c r="M28" s="92">
        <f t="shared" si="9"/>
        <v>0</v>
      </c>
      <c r="N28" s="92">
        <f t="shared" si="9"/>
        <v>0</v>
      </c>
      <c r="O28" s="92">
        <f t="shared" si="9"/>
        <v>0</v>
      </c>
      <c r="P28" s="92">
        <f t="shared" si="9"/>
        <v>0</v>
      </c>
      <c r="R28" s="495">
        <f t="shared" si="2"/>
        <v>0</v>
      </c>
      <c r="S28" s="495">
        <f t="shared" si="3"/>
        <v>0</v>
      </c>
      <c r="T28" s="495">
        <f t="shared" si="4"/>
        <v>0</v>
      </c>
      <c r="U28" s="495">
        <f t="shared" si="5"/>
        <v>0</v>
      </c>
      <c r="V28" s="495">
        <f t="shared" si="6"/>
        <v>0</v>
      </c>
      <c r="W28" s="495">
        <f t="shared" si="7"/>
        <v>0</v>
      </c>
      <c r="Y28" s="495">
        <f>IF(Coverage!$G$4="Actual",Coverage!$C31,Coverage!$G31*$R28)</f>
        <v>0</v>
      </c>
      <c r="Z28" s="496">
        <f>ROUNDUP(S28*Coverage!H31,0)</f>
        <v>0</v>
      </c>
      <c r="AA28" s="496">
        <f>ROUNDUP(T28*Coverage!I31,0)</f>
        <v>0</v>
      </c>
      <c r="AB28" s="496">
        <f>ROUNDUP(U28*Coverage!J31,0)</f>
        <v>0</v>
      </c>
      <c r="AC28" s="496">
        <f>ROUNDUP(V28*Coverage!K31,0)</f>
        <v>0</v>
      </c>
      <c r="AD28" s="496">
        <f>ROUNDUP(W28*Coverage!L31,0)</f>
        <v>0</v>
      </c>
    </row>
    <row r="29" spans="1:30">
      <c r="A29" s="1">
        <v>24</v>
      </c>
      <c r="B29" s="494">
        <f>Package_Services!B31</f>
        <v>0</v>
      </c>
      <c r="C29" s="494">
        <f>Package_Services!C31</f>
        <v>0</v>
      </c>
      <c r="D29" s="494">
        <f>Package_Services!D31</f>
        <v>0</v>
      </c>
      <c r="E29" s="494">
        <f>Package_Services!E31</f>
        <v>0</v>
      </c>
      <c r="F29" s="494">
        <f>Package_Services!F31</f>
        <v>0</v>
      </c>
      <c r="G29" s="491">
        <f>Package_Services!G31</f>
        <v>0</v>
      </c>
      <c r="H29" s="494">
        <f>Package_Services!H31</f>
        <v>0</v>
      </c>
      <c r="I29" s="494">
        <f>Package_Services!I31</f>
        <v>0</v>
      </c>
      <c r="K29" s="92">
        <f t="shared" si="9"/>
        <v>0</v>
      </c>
      <c r="L29" s="92">
        <f t="shared" si="9"/>
        <v>0</v>
      </c>
      <c r="M29" s="92">
        <f t="shared" si="9"/>
        <v>0</v>
      </c>
      <c r="N29" s="92">
        <f t="shared" si="9"/>
        <v>0</v>
      </c>
      <c r="O29" s="92">
        <f t="shared" si="9"/>
        <v>0</v>
      </c>
      <c r="P29" s="92">
        <f t="shared" si="9"/>
        <v>0</v>
      </c>
      <c r="R29" s="495">
        <f t="shared" si="2"/>
        <v>0</v>
      </c>
      <c r="S29" s="495">
        <f t="shared" si="3"/>
        <v>0</v>
      </c>
      <c r="T29" s="495">
        <f t="shared" si="4"/>
        <v>0</v>
      </c>
      <c r="U29" s="495">
        <f t="shared" si="5"/>
        <v>0</v>
      </c>
      <c r="V29" s="495">
        <f t="shared" si="6"/>
        <v>0</v>
      </c>
      <c r="W29" s="495">
        <f t="shared" si="7"/>
        <v>0</v>
      </c>
      <c r="Y29" s="495">
        <f>IF(Coverage!$G$4="Actual",Coverage!$C32,Coverage!$G32*$R29)</f>
        <v>0</v>
      </c>
      <c r="Z29" s="496">
        <f>ROUNDUP(S29*Coverage!H32,0)</f>
        <v>0</v>
      </c>
      <c r="AA29" s="496">
        <f>ROUNDUP(T29*Coverage!I32,0)</f>
        <v>0</v>
      </c>
      <c r="AB29" s="496">
        <f>ROUNDUP(U29*Coverage!J32,0)</f>
        <v>0</v>
      </c>
      <c r="AC29" s="496">
        <f>ROUNDUP(V29*Coverage!K32,0)</f>
        <v>0</v>
      </c>
      <c r="AD29" s="496">
        <f>ROUNDUP(W29*Coverage!L32,0)</f>
        <v>0</v>
      </c>
    </row>
    <row r="30" spans="1:30">
      <c r="A30" s="1">
        <v>25</v>
      </c>
      <c r="B30" s="494">
        <f>Package_Services!B32</f>
        <v>0</v>
      </c>
      <c r="C30" s="494">
        <f>Package_Services!C32</f>
        <v>0</v>
      </c>
      <c r="D30" s="494">
        <f>Package_Services!D32</f>
        <v>0</v>
      </c>
      <c r="E30" s="494">
        <f>Package_Services!E32</f>
        <v>0</v>
      </c>
      <c r="F30" s="494">
        <f>Package_Services!F32</f>
        <v>0</v>
      </c>
      <c r="G30" s="491">
        <f>Package_Services!G32</f>
        <v>0</v>
      </c>
      <c r="H30" s="494">
        <f>Package_Services!H32</f>
        <v>0</v>
      </c>
      <c r="I30" s="494">
        <f>Package_Services!I32</f>
        <v>0</v>
      </c>
      <c r="K30" s="92">
        <f t="shared" si="9"/>
        <v>0</v>
      </c>
      <c r="L30" s="92">
        <f t="shared" si="9"/>
        <v>0</v>
      </c>
      <c r="M30" s="92">
        <f t="shared" si="9"/>
        <v>0</v>
      </c>
      <c r="N30" s="92">
        <f t="shared" si="9"/>
        <v>0</v>
      </c>
      <c r="O30" s="92">
        <f t="shared" si="9"/>
        <v>0</v>
      </c>
      <c r="P30" s="92">
        <f t="shared" si="9"/>
        <v>0</v>
      </c>
      <c r="R30" s="495">
        <f t="shared" si="2"/>
        <v>0</v>
      </c>
      <c r="S30" s="495">
        <f t="shared" si="3"/>
        <v>0</v>
      </c>
      <c r="T30" s="495">
        <f t="shared" si="4"/>
        <v>0</v>
      </c>
      <c r="U30" s="495">
        <f t="shared" si="5"/>
        <v>0</v>
      </c>
      <c r="V30" s="495">
        <f t="shared" si="6"/>
        <v>0</v>
      </c>
      <c r="W30" s="495">
        <f t="shared" si="7"/>
        <v>0</v>
      </c>
      <c r="Y30" s="495">
        <f>IF(Coverage!$G$4="Actual",Coverage!$C33,Coverage!$G33*$R30)</f>
        <v>0</v>
      </c>
      <c r="Z30" s="496">
        <f>ROUNDUP(S30*Coverage!H33,0)</f>
        <v>0</v>
      </c>
      <c r="AA30" s="496">
        <f>ROUNDUP(T30*Coverage!I33,0)</f>
        <v>0</v>
      </c>
      <c r="AB30" s="496">
        <f>ROUNDUP(U30*Coverage!J33,0)</f>
        <v>0</v>
      </c>
      <c r="AC30" s="496">
        <f>ROUNDUP(V30*Coverage!K33,0)</f>
        <v>0</v>
      </c>
      <c r="AD30" s="496">
        <f>ROUNDUP(W30*Coverage!L33,0)</f>
        <v>0</v>
      </c>
    </row>
    <row r="31" spans="1:30">
      <c r="A31" s="1">
        <v>26</v>
      </c>
      <c r="B31" s="494">
        <f>Package_Services!B33</f>
        <v>0</v>
      </c>
      <c r="C31" s="494">
        <f>Package_Services!C33</f>
        <v>0</v>
      </c>
      <c r="D31" s="494">
        <f>Package_Services!D33</f>
        <v>0</v>
      </c>
      <c r="E31" s="494">
        <f>Package_Services!E33</f>
        <v>0</v>
      </c>
      <c r="F31" s="494">
        <f>Package_Services!F33</f>
        <v>0</v>
      </c>
      <c r="G31" s="491">
        <f>Package_Services!G33</f>
        <v>0</v>
      </c>
      <c r="H31" s="494">
        <f>Package_Services!H33</f>
        <v>0</v>
      </c>
      <c r="I31" s="494">
        <f>Package_Services!I33</f>
        <v>0</v>
      </c>
      <c r="K31" s="92">
        <f t="shared" si="9"/>
        <v>0</v>
      </c>
      <c r="L31" s="92">
        <f t="shared" si="9"/>
        <v>0</v>
      </c>
      <c r="M31" s="92">
        <f t="shared" si="9"/>
        <v>0</v>
      </c>
      <c r="N31" s="92">
        <f t="shared" si="9"/>
        <v>0</v>
      </c>
      <c r="O31" s="92">
        <f t="shared" si="9"/>
        <v>0</v>
      </c>
      <c r="P31" s="92">
        <f t="shared" si="9"/>
        <v>0</v>
      </c>
      <c r="R31" s="495">
        <f t="shared" si="2"/>
        <v>0</v>
      </c>
      <c r="S31" s="495">
        <f t="shared" si="3"/>
        <v>0</v>
      </c>
      <c r="T31" s="495">
        <f t="shared" si="4"/>
        <v>0</v>
      </c>
      <c r="U31" s="495">
        <f t="shared" si="5"/>
        <v>0</v>
      </c>
      <c r="V31" s="495">
        <f t="shared" si="6"/>
        <v>0</v>
      </c>
      <c r="W31" s="495">
        <f t="shared" si="7"/>
        <v>0</v>
      </c>
      <c r="Y31" s="495">
        <f>IF(Coverage!$G$4="Actual",Coverage!$C34,Coverage!$G34*$R31)</f>
        <v>0</v>
      </c>
      <c r="Z31" s="496">
        <f>ROUNDUP(S31*Coverage!H34,0)</f>
        <v>0</v>
      </c>
      <c r="AA31" s="496">
        <f>ROUNDUP(T31*Coverage!I34,0)</f>
        <v>0</v>
      </c>
      <c r="AB31" s="496">
        <f>ROUNDUP(U31*Coverage!J34,0)</f>
        <v>0</v>
      </c>
      <c r="AC31" s="496">
        <f>ROUNDUP(V31*Coverage!K34,0)</f>
        <v>0</v>
      </c>
      <c r="AD31" s="496">
        <f>ROUNDUP(W31*Coverage!L34,0)</f>
        <v>0</v>
      </c>
    </row>
    <row r="32" spans="1:30">
      <c r="A32" s="1">
        <v>27</v>
      </c>
      <c r="B32" s="494">
        <f>Package_Services!B34</f>
        <v>0</v>
      </c>
      <c r="C32" s="494">
        <f>Package_Services!C34</f>
        <v>0</v>
      </c>
      <c r="D32" s="494">
        <f>Package_Services!D34</f>
        <v>0</v>
      </c>
      <c r="E32" s="494">
        <f>Package_Services!E34</f>
        <v>0</v>
      </c>
      <c r="F32" s="494">
        <f>Package_Services!F34</f>
        <v>0</v>
      </c>
      <c r="G32" s="491">
        <f>Package_Services!G34</f>
        <v>0</v>
      </c>
      <c r="H32" s="494">
        <f>Package_Services!H34</f>
        <v>0</v>
      </c>
      <c r="I32" s="494">
        <f>Package_Services!I34</f>
        <v>0</v>
      </c>
      <c r="K32" s="92">
        <f t="shared" si="9"/>
        <v>0</v>
      </c>
      <c r="L32" s="92">
        <f t="shared" si="9"/>
        <v>0</v>
      </c>
      <c r="M32" s="92">
        <f t="shared" si="9"/>
        <v>0</v>
      </c>
      <c r="N32" s="92">
        <f t="shared" si="9"/>
        <v>0</v>
      </c>
      <c r="O32" s="92">
        <f t="shared" si="9"/>
        <v>0</v>
      </c>
      <c r="P32" s="92">
        <f t="shared" si="9"/>
        <v>0</v>
      </c>
      <c r="R32" s="495">
        <f t="shared" si="2"/>
        <v>0</v>
      </c>
      <c r="S32" s="495">
        <f t="shared" si="3"/>
        <v>0</v>
      </c>
      <c r="T32" s="495">
        <f t="shared" si="4"/>
        <v>0</v>
      </c>
      <c r="U32" s="495">
        <f t="shared" si="5"/>
        <v>0</v>
      </c>
      <c r="V32" s="495">
        <f t="shared" si="6"/>
        <v>0</v>
      </c>
      <c r="W32" s="495">
        <f t="shared" si="7"/>
        <v>0</v>
      </c>
      <c r="Y32" s="495">
        <f>IF(Coverage!$G$4="Actual",Coverage!$C35,Coverage!$G35*$R32)</f>
        <v>0</v>
      </c>
      <c r="Z32" s="496">
        <f>ROUNDUP(S32*Coverage!H35,0)</f>
        <v>0</v>
      </c>
      <c r="AA32" s="496">
        <f>ROUNDUP(T32*Coverage!I35,0)</f>
        <v>0</v>
      </c>
      <c r="AB32" s="496">
        <f>ROUNDUP(U32*Coverage!J35,0)</f>
        <v>0</v>
      </c>
      <c r="AC32" s="496">
        <f>ROUNDUP(V32*Coverage!K35,0)</f>
        <v>0</v>
      </c>
      <c r="AD32" s="496">
        <f>ROUNDUP(W32*Coverage!L35,0)</f>
        <v>0</v>
      </c>
    </row>
    <row r="33" spans="1:30">
      <c r="A33" s="1">
        <v>28</v>
      </c>
      <c r="B33" s="494">
        <f>Package_Services!B35</f>
        <v>0</v>
      </c>
      <c r="C33" s="494">
        <f>Package_Services!C35</f>
        <v>0</v>
      </c>
      <c r="D33" s="494">
        <f>Package_Services!D35</f>
        <v>0</v>
      </c>
      <c r="E33" s="494">
        <f>Package_Services!E35</f>
        <v>0</v>
      </c>
      <c r="F33" s="494">
        <f>Package_Services!F35</f>
        <v>0</v>
      </c>
      <c r="G33" s="491">
        <f>Package_Services!G35</f>
        <v>0</v>
      </c>
      <c r="H33" s="494">
        <f>Package_Services!H35</f>
        <v>0</v>
      </c>
      <c r="I33" s="494">
        <f>Package_Services!I35</f>
        <v>0</v>
      </c>
      <c r="K33" s="92">
        <f t="shared" si="9"/>
        <v>0</v>
      </c>
      <c r="L33" s="92">
        <f t="shared" si="9"/>
        <v>0</v>
      </c>
      <c r="M33" s="92">
        <f t="shared" si="9"/>
        <v>0</v>
      </c>
      <c r="N33" s="92">
        <f t="shared" si="9"/>
        <v>0</v>
      </c>
      <c r="O33" s="92">
        <f t="shared" si="9"/>
        <v>0</v>
      </c>
      <c r="P33" s="92">
        <f t="shared" si="9"/>
        <v>0</v>
      </c>
      <c r="R33" s="495">
        <f t="shared" si="2"/>
        <v>0</v>
      </c>
      <c r="S33" s="495">
        <f t="shared" si="3"/>
        <v>0</v>
      </c>
      <c r="T33" s="495">
        <f t="shared" si="4"/>
        <v>0</v>
      </c>
      <c r="U33" s="495">
        <f t="shared" si="5"/>
        <v>0</v>
      </c>
      <c r="V33" s="495">
        <f t="shared" si="6"/>
        <v>0</v>
      </c>
      <c r="W33" s="495">
        <f t="shared" si="7"/>
        <v>0</v>
      </c>
      <c r="Y33" s="495">
        <f>IF(Coverage!$G$4="Actual",Coverage!$C36,Coverage!$G36*$R33)</f>
        <v>0</v>
      </c>
      <c r="Z33" s="496">
        <f>ROUNDUP(S33*Coverage!H36,0)</f>
        <v>0</v>
      </c>
      <c r="AA33" s="496">
        <f>ROUNDUP(T33*Coverage!I36,0)</f>
        <v>0</v>
      </c>
      <c r="AB33" s="496">
        <f>ROUNDUP(U33*Coverage!J36,0)</f>
        <v>0</v>
      </c>
      <c r="AC33" s="496">
        <f>ROUNDUP(V33*Coverage!K36,0)</f>
        <v>0</v>
      </c>
      <c r="AD33" s="496">
        <f>ROUNDUP(W33*Coverage!L36,0)</f>
        <v>0</v>
      </c>
    </row>
    <row r="34" spans="1:30">
      <c r="A34" s="1">
        <v>29</v>
      </c>
      <c r="B34" s="494">
        <f>Package_Services!B36</f>
        <v>0</v>
      </c>
      <c r="C34" s="494">
        <f>Package_Services!C36</f>
        <v>0</v>
      </c>
      <c r="D34" s="494">
        <f>Package_Services!D36</f>
        <v>0</v>
      </c>
      <c r="E34" s="494">
        <f>Package_Services!E36</f>
        <v>0</v>
      </c>
      <c r="F34" s="494">
        <f>Package_Services!F36</f>
        <v>0</v>
      </c>
      <c r="G34" s="491">
        <f>Package_Services!G36</f>
        <v>0</v>
      </c>
      <c r="H34" s="494">
        <f>Package_Services!H36</f>
        <v>0</v>
      </c>
      <c r="I34" s="494">
        <f>Package_Services!I36</f>
        <v>0</v>
      </c>
      <c r="K34" s="92">
        <f t="shared" si="9"/>
        <v>0</v>
      </c>
      <c r="L34" s="92">
        <f t="shared" si="9"/>
        <v>0</v>
      </c>
      <c r="M34" s="92">
        <f t="shared" si="9"/>
        <v>0</v>
      </c>
      <c r="N34" s="92">
        <f t="shared" si="9"/>
        <v>0</v>
      </c>
      <c r="O34" s="92">
        <f t="shared" si="9"/>
        <v>0</v>
      </c>
      <c r="P34" s="92">
        <f t="shared" si="9"/>
        <v>0</v>
      </c>
      <c r="R34" s="495">
        <f t="shared" si="2"/>
        <v>0</v>
      </c>
      <c r="S34" s="495">
        <f t="shared" si="3"/>
        <v>0</v>
      </c>
      <c r="T34" s="495">
        <f t="shared" si="4"/>
        <v>0</v>
      </c>
      <c r="U34" s="495">
        <f t="shared" si="5"/>
        <v>0</v>
      </c>
      <c r="V34" s="495">
        <f t="shared" si="6"/>
        <v>0</v>
      </c>
      <c r="W34" s="495">
        <f t="shared" si="7"/>
        <v>0</v>
      </c>
      <c r="Y34" s="495">
        <f>IF(Coverage!$G$4="Actual",Coverage!$C37,Coverage!$G37*$R34)</f>
        <v>0</v>
      </c>
      <c r="Z34" s="496">
        <f>ROUNDUP(S34*Coverage!H37,0)</f>
        <v>0</v>
      </c>
      <c r="AA34" s="496">
        <f>ROUNDUP(T34*Coverage!I37,0)</f>
        <v>0</v>
      </c>
      <c r="AB34" s="496">
        <f>ROUNDUP(U34*Coverage!J37,0)</f>
        <v>0</v>
      </c>
      <c r="AC34" s="496">
        <f>ROUNDUP(V34*Coverage!K37,0)</f>
        <v>0</v>
      </c>
      <c r="AD34" s="496">
        <f>ROUNDUP(W34*Coverage!L37,0)</f>
        <v>0</v>
      </c>
    </row>
    <row r="35" spans="1:30">
      <c r="A35" s="1">
        <v>30</v>
      </c>
      <c r="B35" s="494">
        <f>Package_Services!B37</f>
        <v>0</v>
      </c>
      <c r="C35" s="494">
        <f>Package_Services!C37</f>
        <v>0</v>
      </c>
      <c r="D35" s="494">
        <f>Package_Services!D37</f>
        <v>0</v>
      </c>
      <c r="E35" s="494">
        <f>Package_Services!E37</f>
        <v>0</v>
      </c>
      <c r="F35" s="494">
        <f>Package_Services!F37</f>
        <v>0</v>
      </c>
      <c r="G35" s="491">
        <f>Package_Services!G37</f>
        <v>0</v>
      </c>
      <c r="H35" s="494">
        <f>Package_Services!H37</f>
        <v>0</v>
      </c>
      <c r="I35" s="494">
        <f>Package_Services!I37</f>
        <v>0</v>
      </c>
      <c r="K35" s="92">
        <f t="shared" si="9"/>
        <v>0</v>
      </c>
      <c r="L35" s="92">
        <f t="shared" si="9"/>
        <v>0</v>
      </c>
      <c r="M35" s="92">
        <f t="shared" si="9"/>
        <v>0</v>
      </c>
      <c r="N35" s="92">
        <f t="shared" si="9"/>
        <v>0</v>
      </c>
      <c r="O35" s="92">
        <f t="shared" si="9"/>
        <v>0</v>
      </c>
      <c r="P35" s="92">
        <f t="shared" si="9"/>
        <v>0</v>
      </c>
      <c r="R35" s="495">
        <f t="shared" si="2"/>
        <v>0</v>
      </c>
      <c r="S35" s="495">
        <f t="shared" si="3"/>
        <v>0</v>
      </c>
      <c r="T35" s="495">
        <f t="shared" si="4"/>
        <v>0</v>
      </c>
      <c r="U35" s="495">
        <f t="shared" si="5"/>
        <v>0</v>
      </c>
      <c r="V35" s="495">
        <f t="shared" si="6"/>
        <v>0</v>
      </c>
      <c r="W35" s="495">
        <f t="shared" si="7"/>
        <v>0</v>
      </c>
      <c r="Y35" s="495">
        <f>IF(Coverage!$G$4="Actual",Coverage!$C38,Coverage!$G38*$R35)</f>
        <v>0</v>
      </c>
      <c r="Z35" s="496">
        <f>ROUNDUP(S35*Coverage!H38,0)</f>
        <v>0</v>
      </c>
      <c r="AA35" s="496">
        <f>ROUNDUP(T35*Coverage!I38,0)</f>
        <v>0</v>
      </c>
      <c r="AB35" s="496">
        <f>ROUNDUP(U35*Coverage!J38,0)</f>
        <v>0</v>
      </c>
      <c r="AC35" s="496">
        <f>ROUNDUP(V35*Coverage!K38,0)</f>
        <v>0</v>
      </c>
      <c r="AD35" s="496">
        <f>ROUNDUP(W35*Coverage!L38,0)</f>
        <v>0</v>
      </c>
    </row>
    <row r="36" spans="1:30">
      <c r="A36" s="1">
        <v>31</v>
      </c>
      <c r="B36" s="494">
        <f>Package_Services!B38</f>
        <v>0</v>
      </c>
      <c r="C36" s="494">
        <f>Package_Services!C38</f>
        <v>0</v>
      </c>
      <c r="D36" s="494">
        <f>Package_Services!D38</f>
        <v>0</v>
      </c>
      <c r="E36" s="494">
        <f>Package_Services!E38</f>
        <v>0</v>
      </c>
      <c r="F36" s="494">
        <f>Package_Services!F38</f>
        <v>0</v>
      </c>
      <c r="G36" s="491">
        <f>Package_Services!G38</f>
        <v>0</v>
      </c>
      <c r="H36" s="494">
        <f>Package_Services!H38</f>
        <v>0</v>
      </c>
      <c r="I36" s="494">
        <f>Package_Services!I38</f>
        <v>0</v>
      </c>
      <c r="K36" s="92">
        <f t="shared" ref="K36:P45" si="10">IF($D36=0,0,VLOOKUP($D36,lookup_demography,K$3,FALSE))</f>
        <v>0</v>
      </c>
      <c r="L36" s="92">
        <f t="shared" si="10"/>
        <v>0</v>
      </c>
      <c r="M36" s="92">
        <f t="shared" si="10"/>
        <v>0</v>
      </c>
      <c r="N36" s="92">
        <f t="shared" si="10"/>
        <v>0</v>
      </c>
      <c r="O36" s="92">
        <f t="shared" si="10"/>
        <v>0</v>
      </c>
      <c r="P36" s="92">
        <f t="shared" si="10"/>
        <v>0</v>
      </c>
      <c r="R36" s="495">
        <f t="shared" si="2"/>
        <v>0</v>
      </c>
      <c r="S36" s="495">
        <f t="shared" si="3"/>
        <v>0</v>
      </c>
      <c r="T36" s="495">
        <f t="shared" si="4"/>
        <v>0</v>
      </c>
      <c r="U36" s="495">
        <f t="shared" si="5"/>
        <v>0</v>
      </c>
      <c r="V36" s="495">
        <f t="shared" si="6"/>
        <v>0</v>
      </c>
      <c r="W36" s="495">
        <f t="shared" si="7"/>
        <v>0</v>
      </c>
      <c r="Y36" s="495">
        <f>IF(Coverage!$G$4="Actual",Coverage!$C39,Coverage!$G39*$R36)</f>
        <v>0</v>
      </c>
      <c r="Z36" s="496">
        <f>ROUNDUP(S36*Coverage!H39,0)</f>
        <v>0</v>
      </c>
      <c r="AA36" s="496">
        <f>ROUNDUP(T36*Coverage!I39,0)</f>
        <v>0</v>
      </c>
      <c r="AB36" s="496">
        <f>ROUNDUP(U36*Coverage!J39,0)</f>
        <v>0</v>
      </c>
      <c r="AC36" s="496">
        <f>ROUNDUP(V36*Coverage!K39,0)</f>
        <v>0</v>
      </c>
      <c r="AD36" s="496">
        <f>ROUNDUP(W36*Coverage!L39,0)</f>
        <v>0</v>
      </c>
    </row>
    <row r="37" spans="1:30">
      <c r="A37" s="1">
        <v>32</v>
      </c>
      <c r="B37" s="494">
        <f>Package_Services!B39</f>
        <v>0</v>
      </c>
      <c r="C37" s="494">
        <f>Package_Services!C39</f>
        <v>0</v>
      </c>
      <c r="D37" s="494">
        <f>Package_Services!D39</f>
        <v>0</v>
      </c>
      <c r="E37" s="494">
        <f>Package_Services!E39</f>
        <v>0</v>
      </c>
      <c r="F37" s="494">
        <f>Package_Services!F39</f>
        <v>0</v>
      </c>
      <c r="G37" s="491">
        <f>Package_Services!G39</f>
        <v>0</v>
      </c>
      <c r="H37" s="494">
        <f>Package_Services!H39</f>
        <v>0</v>
      </c>
      <c r="I37" s="494">
        <f>Package_Services!I39</f>
        <v>0</v>
      </c>
      <c r="K37" s="92">
        <f t="shared" si="10"/>
        <v>0</v>
      </c>
      <c r="L37" s="92">
        <f t="shared" si="10"/>
        <v>0</v>
      </c>
      <c r="M37" s="92">
        <f t="shared" si="10"/>
        <v>0</v>
      </c>
      <c r="N37" s="92">
        <f t="shared" si="10"/>
        <v>0</v>
      </c>
      <c r="O37" s="92">
        <f t="shared" si="10"/>
        <v>0</v>
      </c>
      <c r="P37" s="92">
        <f t="shared" si="10"/>
        <v>0</v>
      </c>
      <c r="R37" s="495">
        <f t="shared" si="2"/>
        <v>0</v>
      </c>
      <c r="S37" s="495">
        <f t="shared" si="3"/>
        <v>0</v>
      </c>
      <c r="T37" s="495">
        <f t="shared" si="4"/>
        <v>0</v>
      </c>
      <c r="U37" s="495">
        <f t="shared" si="5"/>
        <v>0</v>
      </c>
      <c r="V37" s="495">
        <f t="shared" si="6"/>
        <v>0</v>
      </c>
      <c r="W37" s="495">
        <f t="shared" si="7"/>
        <v>0</v>
      </c>
      <c r="Y37" s="495">
        <f>IF(Coverage!$G$4="Actual",Coverage!$C40,Coverage!$G40*$R37)</f>
        <v>0</v>
      </c>
      <c r="Z37" s="496">
        <f>ROUNDUP(S37*Coverage!H40,0)</f>
        <v>0</v>
      </c>
      <c r="AA37" s="496">
        <f>ROUNDUP(T37*Coverage!I40,0)</f>
        <v>0</v>
      </c>
      <c r="AB37" s="496">
        <f>ROUNDUP(U37*Coverage!J40,0)</f>
        <v>0</v>
      </c>
      <c r="AC37" s="496">
        <f>ROUNDUP(V37*Coverage!K40,0)</f>
        <v>0</v>
      </c>
      <c r="AD37" s="496">
        <f>ROUNDUP(W37*Coverage!L40,0)</f>
        <v>0</v>
      </c>
    </row>
    <row r="38" spans="1:30">
      <c r="A38" s="1">
        <v>33</v>
      </c>
      <c r="B38" s="494">
        <f>Package_Services!B40</f>
        <v>0</v>
      </c>
      <c r="C38" s="494">
        <f>Package_Services!C40</f>
        <v>0</v>
      </c>
      <c r="D38" s="494">
        <f>Package_Services!D40</f>
        <v>0</v>
      </c>
      <c r="E38" s="494">
        <f>Package_Services!E40</f>
        <v>0</v>
      </c>
      <c r="F38" s="494">
        <f>Package_Services!F40</f>
        <v>0</v>
      </c>
      <c r="G38" s="491">
        <f>Package_Services!G40</f>
        <v>0</v>
      </c>
      <c r="H38" s="494">
        <f>Package_Services!H40</f>
        <v>0</v>
      </c>
      <c r="I38" s="494">
        <f>Package_Services!I40</f>
        <v>0</v>
      </c>
      <c r="K38" s="92">
        <f t="shared" si="10"/>
        <v>0</v>
      </c>
      <c r="L38" s="92">
        <f t="shared" si="10"/>
        <v>0</v>
      </c>
      <c r="M38" s="92">
        <f t="shared" si="10"/>
        <v>0</v>
      </c>
      <c r="N38" s="92">
        <f t="shared" si="10"/>
        <v>0</v>
      </c>
      <c r="O38" s="92">
        <f t="shared" si="10"/>
        <v>0</v>
      </c>
      <c r="P38" s="92">
        <f t="shared" si="10"/>
        <v>0</v>
      </c>
      <c r="R38" s="495">
        <f t="shared" si="2"/>
        <v>0</v>
      </c>
      <c r="S38" s="495">
        <f t="shared" si="3"/>
        <v>0</v>
      </c>
      <c r="T38" s="495">
        <f t="shared" si="4"/>
        <v>0</v>
      </c>
      <c r="U38" s="495">
        <f t="shared" si="5"/>
        <v>0</v>
      </c>
      <c r="V38" s="495">
        <f t="shared" si="6"/>
        <v>0</v>
      </c>
      <c r="W38" s="495">
        <f t="shared" si="7"/>
        <v>0</v>
      </c>
      <c r="Y38" s="495">
        <f>IF(Coverage!$G$4="Actual",Coverage!$C41,Coverage!$G41*$R38)</f>
        <v>0</v>
      </c>
      <c r="Z38" s="496">
        <f>ROUNDUP(S38*Coverage!H41,0)</f>
        <v>0</v>
      </c>
      <c r="AA38" s="496">
        <f>ROUNDUP(T38*Coverage!I41,0)</f>
        <v>0</v>
      </c>
      <c r="AB38" s="496">
        <f>ROUNDUP(U38*Coverage!J41,0)</f>
        <v>0</v>
      </c>
      <c r="AC38" s="496">
        <f>ROUNDUP(V38*Coverage!K41,0)</f>
        <v>0</v>
      </c>
      <c r="AD38" s="496">
        <f>ROUNDUP(W38*Coverage!L41,0)</f>
        <v>0</v>
      </c>
    </row>
    <row r="39" spans="1:30">
      <c r="A39" s="1">
        <v>34</v>
      </c>
      <c r="B39" s="494">
        <f>Package_Services!B41</f>
        <v>0</v>
      </c>
      <c r="C39" s="494">
        <f>Package_Services!C41</f>
        <v>0</v>
      </c>
      <c r="D39" s="494">
        <f>Package_Services!D41</f>
        <v>0</v>
      </c>
      <c r="E39" s="494">
        <f>Package_Services!E41</f>
        <v>0</v>
      </c>
      <c r="F39" s="494">
        <f>Package_Services!F41</f>
        <v>0</v>
      </c>
      <c r="G39" s="491">
        <f>Package_Services!G41</f>
        <v>0</v>
      </c>
      <c r="H39" s="494">
        <f>Package_Services!H41</f>
        <v>0</v>
      </c>
      <c r="I39" s="494">
        <f>Package_Services!I41</f>
        <v>0</v>
      </c>
      <c r="K39" s="92">
        <f t="shared" si="10"/>
        <v>0</v>
      </c>
      <c r="L39" s="92">
        <f t="shared" si="10"/>
        <v>0</v>
      </c>
      <c r="M39" s="92">
        <f t="shared" si="10"/>
        <v>0</v>
      </c>
      <c r="N39" s="92">
        <f t="shared" si="10"/>
        <v>0</v>
      </c>
      <c r="O39" s="92">
        <f t="shared" si="10"/>
        <v>0</v>
      </c>
      <c r="P39" s="92">
        <f t="shared" si="10"/>
        <v>0</v>
      </c>
      <c r="R39" s="495">
        <f t="shared" si="2"/>
        <v>0</v>
      </c>
      <c r="S39" s="495">
        <f t="shared" si="3"/>
        <v>0</v>
      </c>
      <c r="T39" s="495">
        <f t="shared" si="4"/>
        <v>0</v>
      </c>
      <c r="U39" s="495">
        <f t="shared" si="5"/>
        <v>0</v>
      </c>
      <c r="V39" s="495">
        <f t="shared" si="6"/>
        <v>0</v>
      </c>
      <c r="W39" s="495">
        <f t="shared" si="7"/>
        <v>0</v>
      </c>
      <c r="Y39" s="495">
        <f>IF(Coverage!$G$4="Actual",Coverage!$C42,Coverage!$G42*$R39)</f>
        <v>0</v>
      </c>
      <c r="Z39" s="496">
        <f>ROUNDUP(S39*Coverage!H42,0)</f>
        <v>0</v>
      </c>
      <c r="AA39" s="496">
        <f>ROUNDUP(T39*Coverage!I42,0)</f>
        <v>0</v>
      </c>
      <c r="AB39" s="496">
        <f>ROUNDUP(U39*Coverage!J42,0)</f>
        <v>0</v>
      </c>
      <c r="AC39" s="496">
        <f>ROUNDUP(V39*Coverage!K42,0)</f>
        <v>0</v>
      </c>
      <c r="AD39" s="496">
        <f>ROUNDUP(W39*Coverage!L42,0)</f>
        <v>0</v>
      </c>
    </row>
    <row r="40" spans="1:30">
      <c r="A40" s="1">
        <v>35</v>
      </c>
      <c r="B40" s="494">
        <f>Package_Services!B42</f>
        <v>0</v>
      </c>
      <c r="C40" s="494">
        <f>Package_Services!C42</f>
        <v>0</v>
      </c>
      <c r="D40" s="494">
        <f>Package_Services!D42</f>
        <v>0</v>
      </c>
      <c r="E40" s="494">
        <f>Package_Services!E42</f>
        <v>0</v>
      </c>
      <c r="F40" s="494">
        <f>Package_Services!F42</f>
        <v>0</v>
      </c>
      <c r="G40" s="491">
        <f>Package_Services!G42</f>
        <v>0</v>
      </c>
      <c r="H40" s="494">
        <f>Package_Services!H42</f>
        <v>0</v>
      </c>
      <c r="I40" s="494">
        <f>Package_Services!I42</f>
        <v>0</v>
      </c>
      <c r="K40" s="92">
        <f t="shared" si="10"/>
        <v>0</v>
      </c>
      <c r="L40" s="92">
        <f t="shared" si="10"/>
        <v>0</v>
      </c>
      <c r="M40" s="92">
        <f t="shared" si="10"/>
        <v>0</v>
      </c>
      <c r="N40" s="92">
        <f t="shared" si="10"/>
        <v>0</v>
      </c>
      <c r="O40" s="92">
        <f t="shared" si="10"/>
        <v>0</v>
      </c>
      <c r="P40" s="92">
        <f t="shared" si="10"/>
        <v>0</v>
      </c>
      <c r="R40" s="495">
        <f t="shared" si="2"/>
        <v>0</v>
      </c>
      <c r="S40" s="495">
        <f t="shared" si="3"/>
        <v>0</v>
      </c>
      <c r="T40" s="495">
        <f t="shared" si="4"/>
        <v>0</v>
      </c>
      <c r="U40" s="495">
        <f t="shared" si="5"/>
        <v>0</v>
      </c>
      <c r="V40" s="495">
        <f t="shared" si="6"/>
        <v>0</v>
      </c>
      <c r="W40" s="495">
        <f t="shared" si="7"/>
        <v>0</v>
      </c>
      <c r="Y40" s="495">
        <f>IF(Coverage!$G$4="Actual",Coverage!$C43,Coverage!$G43*$R40)</f>
        <v>0</v>
      </c>
      <c r="Z40" s="496">
        <f>ROUNDUP(S40*Coverage!H43,0)</f>
        <v>0</v>
      </c>
      <c r="AA40" s="496">
        <f>ROUNDUP(T40*Coverage!I43,0)</f>
        <v>0</v>
      </c>
      <c r="AB40" s="496">
        <f>ROUNDUP(U40*Coverage!J43,0)</f>
        <v>0</v>
      </c>
      <c r="AC40" s="496">
        <f>ROUNDUP(V40*Coverage!K43,0)</f>
        <v>0</v>
      </c>
      <c r="AD40" s="496">
        <f>ROUNDUP(W40*Coverage!L43,0)</f>
        <v>0</v>
      </c>
    </row>
    <row r="41" spans="1:30">
      <c r="A41" s="1">
        <v>36</v>
      </c>
      <c r="B41" s="494">
        <f>Package_Services!B43</f>
        <v>0</v>
      </c>
      <c r="C41" s="494">
        <f>Package_Services!C43</f>
        <v>0</v>
      </c>
      <c r="D41" s="494">
        <f>Package_Services!D43</f>
        <v>0</v>
      </c>
      <c r="E41" s="494">
        <f>Package_Services!E43</f>
        <v>0</v>
      </c>
      <c r="F41" s="494">
        <f>Package_Services!F43</f>
        <v>0</v>
      </c>
      <c r="G41" s="491">
        <f>Package_Services!G43</f>
        <v>0</v>
      </c>
      <c r="H41" s="494">
        <f>Package_Services!H43</f>
        <v>0</v>
      </c>
      <c r="I41" s="494">
        <f>Package_Services!I43</f>
        <v>0</v>
      </c>
      <c r="K41" s="92">
        <f t="shared" si="10"/>
        <v>0</v>
      </c>
      <c r="L41" s="92">
        <f t="shared" si="10"/>
        <v>0</v>
      </c>
      <c r="M41" s="92">
        <f t="shared" si="10"/>
        <v>0</v>
      </c>
      <c r="N41" s="92">
        <f t="shared" si="10"/>
        <v>0</v>
      </c>
      <c r="O41" s="92">
        <f t="shared" si="10"/>
        <v>0</v>
      </c>
      <c r="P41" s="92">
        <f t="shared" si="10"/>
        <v>0</v>
      </c>
      <c r="R41" s="495">
        <f t="shared" si="2"/>
        <v>0</v>
      </c>
      <c r="S41" s="495">
        <f t="shared" si="3"/>
        <v>0</v>
      </c>
      <c r="T41" s="495">
        <f t="shared" si="4"/>
        <v>0</v>
      </c>
      <c r="U41" s="495">
        <f t="shared" si="5"/>
        <v>0</v>
      </c>
      <c r="V41" s="495">
        <f t="shared" si="6"/>
        <v>0</v>
      </c>
      <c r="W41" s="495">
        <f t="shared" si="7"/>
        <v>0</v>
      </c>
      <c r="Y41" s="495">
        <f>IF(Coverage!$G$4="Actual",Coverage!$C44,Coverage!$G44*$R41)</f>
        <v>0</v>
      </c>
      <c r="Z41" s="496">
        <f>ROUNDUP(S41*Coverage!H44,0)</f>
        <v>0</v>
      </c>
      <c r="AA41" s="496">
        <f>ROUNDUP(T41*Coverage!I44,0)</f>
        <v>0</v>
      </c>
      <c r="AB41" s="496">
        <f>ROUNDUP(U41*Coverage!J44,0)</f>
        <v>0</v>
      </c>
      <c r="AC41" s="496">
        <f>ROUNDUP(V41*Coverage!K44,0)</f>
        <v>0</v>
      </c>
      <c r="AD41" s="496">
        <f>ROUNDUP(W41*Coverage!L44,0)</f>
        <v>0</v>
      </c>
    </row>
    <row r="42" spans="1:30">
      <c r="A42" s="1">
        <v>37</v>
      </c>
      <c r="B42" s="494">
        <f>Package_Services!B44</f>
        <v>0</v>
      </c>
      <c r="C42" s="494">
        <f>Package_Services!C44</f>
        <v>0</v>
      </c>
      <c r="D42" s="494">
        <f>Package_Services!D44</f>
        <v>0</v>
      </c>
      <c r="E42" s="494">
        <f>Package_Services!E44</f>
        <v>0</v>
      </c>
      <c r="F42" s="494">
        <f>Package_Services!F44</f>
        <v>0</v>
      </c>
      <c r="G42" s="491">
        <f>Package_Services!G44</f>
        <v>0</v>
      </c>
      <c r="H42" s="494">
        <f>Package_Services!H44</f>
        <v>0</v>
      </c>
      <c r="I42" s="494">
        <f>Package_Services!I44</f>
        <v>0</v>
      </c>
      <c r="K42" s="92">
        <f t="shared" si="10"/>
        <v>0</v>
      </c>
      <c r="L42" s="92">
        <f t="shared" si="10"/>
        <v>0</v>
      </c>
      <c r="M42" s="92">
        <f t="shared" si="10"/>
        <v>0</v>
      </c>
      <c r="N42" s="92">
        <f t="shared" si="10"/>
        <v>0</v>
      </c>
      <c r="O42" s="92">
        <f t="shared" si="10"/>
        <v>0</v>
      </c>
      <c r="P42" s="92">
        <f t="shared" si="10"/>
        <v>0</v>
      </c>
      <c r="R42" s="495">
        <f t="shared" si="2"/>
        <v>0</v>
      </c>
      <c r="S42" s="495">
        <f t="shared" si="3"/>
        <v>0</v>
      </c>
      <c r="T42" s="495">
        <f t="shared" si="4"/>
        <v>0</v>
      </c>
      <c r="U42" s="495">
        <f t="shared" si="5"/>
        <v>0</v>
      </c>
      <c r="V42" s="495">
        <f t="shared" si="6"/>
        <v>0</v>
      </c>
      <c r="W42" s="495">
        <f t="shared" si="7"/>
        <v>0</v>
      </c>
      <c r="Y42" s="495">
        <f>IF(Coverage!$G$4="Actual",Coverage!$C45,Coverage!$G45*$R42)</f>
        <v>0</v>
      </c>
      <c r="Z42" s="496">
        <f>ROUNDUP(S42*Coverage!H45,0)</f>
        <v>0</v>
      </c>
      <c r="AA42" s="496">
        <f>ROUNDUP(T42*Coverage!I45,0)</f>
        <v>0</v>
      </c>
      <c r="AB42" s="496">
        <f>ROUNDUP(U42*Coverage!J45,0)</f>
        <v>0</v>
      </c>
      <c r="AC42" s="496">
        <f>ROUNDUP(V42*Coverage!K45,0)</f>
        <v>0</v>
      </c>
      <c r="AD42" s="496">
        <f>ROUNDUP(W42*Coverage!L45,0)</f>
        <v>0</v>
      </c>
    </row>
    <row r="43" spans="1:30">
      <c r="A43" s="1">
        <v>38</v>
      </c>
      <c r="B43" s="494">
        <f>Package_Services!B45</f>
        <v>0</v>
      </c>
      <c r="C43" s="494">
        <f>Package_Services!C45</f>
        <v>0</v>
      </c>
      <c r="D43" s="494">
        <f>Package_Services!D45</f>
        <v>0</v>
      </c>
      <c r="E43" s="494">
        <f>Package_Services!E45</f>
        <v>0</v>
      </c>
      <c r="F43" s="494">
        <f>Package_Services!F45</f>
        <v>0</v>
      </c>
      <c r="G43" s="491">
        <f>Package_Services!G45</f>
        <v>0</v>
      </c>
      <c r="H43" s="494">
        <f>Package_Services!H45</f>
        <v>0</v>
      </c>
      <c r="I43" s="494">
        <f>Package_Services!I45</f>
        <v>0</v>
      </c>
      <c r="K43" s="92">
        <f t="shared" si="10"/>
        <v>0</v>
      </c>
      <c r="L43" s="92">
        <f t="shared" si="10"/>
        <v>0</v>
      </c>
      <c r="M43" s="92">
        <f t="shared" si="10"/>
        <v>0</v>
      </c>
      <c r="N43" s="92">
        <f t="shared" si="10"/>
        <v>0</v>
      </c>
      <c r="O43" s="92">
        <f t="shared" si="10"/>
        <v>0</v>
      </c>
      <c r="P43" s="92">
        <f t="shared" si="10"/>
        <v>0</v>
      </c>
      <c r="R43" s="495">
        <f t="shared" si="2"/>
        <v>0</v>
      </c>
      <c r="S43" s="495">
        <f t="shared" si="3"/>
        <v>0</v>
      </c>
      <c r="T43" s="495">
        <f t="shared" si="4"/>
        <v>0</v>
      </c>
      <c r="U43" s="495">
        <f t="shared" si="5"/>
        <v>0</v>
      </c>
      <c r="V43" s="495">
        <f t="shared" si="6"/>
        <v>0</v>
      </c>
      <c r="W43" s="495">
        <f t="shared" si="7"/>
        <v>0</v>
      </c>
      <c r="Y43" s="495">
        <f>IF(Coverage!$G$4="Actual",Coverage!$C46,Coverage!$G46*$R43)</f>
        <v>0</v>
      </c>
      <c r="Z43" s="496">
        <f>ROUNDUP(S43*Coverage!H46,0)</f>
        <v>0</v>
      </c>
      <c r="AA43" s="496">
        <f>ROUNDUP(T43*Coverage!I46,0)</f>
        <v>0</v>
      </c>
      <c r="AB43" s="496">
        <f>ROUNDUP(U43*Coverage!J46,0)</f>
        <v>0</v>
      </c>
      <c r="AC43" s="496">
        <f>ROUNDUP(V43*Coverage!K46,0)</f>
        <v>0</v>
      </c>
      <c r="AD43" s="496">
        <f>ROUNDUP(W43*Coverage!L46,0)</f>
        <v>0</v>
      </c>
    </row>
    <row r="44" spans="1:30">
      <c r="A44" s="1">
        <v>39</v>
      </c>
      <c r="B44" s="494">
        <f>Package_Services!B46</f>
        <v>0</v>
      </c>
      <c r="C44" s="494">
        <f>Package_Services!C46</f>
        <v>0</v>
      </c>
      <c r="D44" s="494">
        <f>Package_Services!D46</f>
        <v>0</v>
      </c>
      <c r="E44" s="494">
        <f>Package_Services!E46</f>
        <v>0</v>
      </c>
      <c r="F44" s="494">
        <f>Package_Services!F46</f>
        <v>0</v>
      </c>
      <c r="G44" s="491">
        <f>Package_Services!G46</f>
        <v>0</v>
      </c>
      <c r="H44" s="494">
        <f>Package_Services!H46</f>
        <v>0</v>
      </c>
      <c r="I44" s="494">
        <f>Package_Services!I46</f>
        <v>0</v>
      </c>
      <c r="K44" s="92">
        <f t="shared" si="10"/>
        <v>0</v>
      </c>
      <c r="L44" s="92">
        <f t="shared" si="10"/>
        <v>0</v>
      </c>
      <c r="M44" s="92">
        <f t="shared" si="10"/>
        <v>0</v>
      </c>
      <c r="N44" s="92">
        <f t="shared" si="10"/>
        <v>0</v>
      </c>
      <c r="O44" s="92">
        <f t="shared" si="10"/>
        <v>0</v>
      </c>
      <c r="P44" s="92">
        <f t="shared" si="10"/>
        <v>0</v>
      </c>
      <c r="R44" s="495">
        <f t="shared" si="2"/>
        <v>0</v>
      </c>
      <c r="S44" s="495">
        <f t="shared" si="3"/>
        <v>0</v>
      </c>
      <c r="T44" s="495">
        <f t="shared" si="4"/>
        <v>0</v>
      </c>
      <c r="U44" s="495">
        <f t="shared" si="5"/>
        <v>0</v>
      </c>
      <c r="V44" s="495">
        <f t="shared" si="6"/>
        <v>0</v>
      </c>
      <c r="W44" s="495">
        <f t="shared" si="7"/>
        <v>0</v>
      </c>
      <c r="Y44" s="495">
        <f>IF(Coverage!$G$4="Actual",Coverage!$C47,Coverage!$G47*$R44)</f>
        <v>0</v>
      </c>
      <c r="Z44" s="496">
        <f>ROUNDUP(S44*Coverage!H47,0)</f>
        <v>0</v>
      </c>
      <c r="AA44" s="496">
        <f>ROUNDUP(T44*Coverage!I47,0)</f>
        <v>0</v>
      </c>
      <c r="AB44" s="496">
        <f>ROUNDUP(U44*Coverage!J47,0)</f>
        <v>0</v>
      </c>
      <c r="AC44" s="496">
        <f>ROUNDUP(V44*Coverage!K47,0)</f>
        <v>0</v>
      </c>
      <c r="AD44" s="496">
        <f>ROUNDUP(W44*Coverage!L47,0)</f>
        <v>0</v>
      </c>
    </row>
    <row r="45" spans="1:30">
      <c r="A45" s="1">
        <v>40</v>
      </c>
      <c r="B45" s="494">
        <f>Package_Services!B47</f>
        <v>0</v>
      </c>
      <c r="C45" s="494">
        <f>Package_Services!C47</f>
        <v>0</v>
      </c>
      <c r="D45" s="494">
        <f>Package_Services!D47</f>
        <v>0</v>
      </c>
      <c r="E45" s="494">
        <f>Package_Services!E47</f>
        <v>0</v>
      </c>
      <c r="F45" s="494">
        <f>Package_Services!F47</f>
        <v>0</v>
      </c>
      <c r="G45" s="491">
        <f>Package_Services!G47</f>
        <v>0</v>
      </c>
      <c r="H45" s="494">
        <f>Package_Services!H47</f>
        <v>0</v>
      </c>
      <c r="I45" s="494">
        <f>Package_Services!I47</f>
        <v>0</v>
      </c>
      <c r="K45" s="92">
        <f t="shared" si="10"/>
        <v>0</v>
      </c>
      <c r="L45" s="92">
        <f t="shared" si="10"/>
        <v>0</v>
      </c>
      <c r="M45" s="92">
        <f t="shared" si="10"/>
        <v>0</v>
      </c>
      <c r="N45" s="92">
        <f t="shared" si="10"/>
        <v>0</v>
      </c>
      <c r="O45" s="92">
        <f t="shared" si="10"/>
        <v>0</v>
      </c>
      <c r="P45" s="92">
        <f t="shared" si="10"/>
        <v>0</v>
      </c>
      <c r="R45" s="495">
        <f t="shared" si="2"/>
        <v>0</v>
      </c>
      <c r="S45" s="495">
        <f t="shared" si="3"/>
        <v>0</v>
      </c>
      <c r="T45" s="495">
        <f t="shared" si="4"/>
        <v>0</v>
      </c>
      <c r="U45" s="495">
        <f t="shared" si="5"/>
        <v>0</v>
      </c>
      <c r="V45" s="495">
        <f t="shared" si="6"/>
        <v>0</v>
      </c>
      <c r="W45" s="495">
        <f t="shared" si="7"/>
        <v>0</v>
      </c>
      <c r="Y45" s="495">
        <f>IF(Coverage!$G$4="Actual",Coverage!$C48,Coverage!$G48*$R45)</f>
        <v>0</v>
      </c>
      <c r="Z45" s="496">
        <f>ROUNDUP(S45*Coverage!H48,0)</f>
        <v>0</v>
      </c>
      <c r="AA45" s="496">
        <f>ROUNDUP(T45*Coverage!I48,0)</f>
        <v>0</v>
      </c>
      <c r="AB45" s="496">
        <f>ROUNDUP(U45*Coverage!J48,0)</f>
        <v>0</v>
      </c>
      <c r="AC45" s="496">
        <f>ROUNDUP(V45*Coverage!K48,0)</f>
        <v>0</v>
      </c>
      <c r="AD45" s="496">
        <f>ROUNDUP(W45*Coverage!L48,0)</f>
        <v>0</v>
      </c>
    </row>
    <row r="46" spans="1:30">
      <c r="A46" s="1">
        <v>41</v>
      </c>
      <c r="B46" s="494">
        <f>Package_Services!B48</f>
        <v>0</v>
      </c>
      <c r="C46" s="494">
        <f>Package_Services!C48</f>
        <v>0</v>
      </c>
      <c r="D46" s="494">
        <f>Package_Services!D48</f>
        <v>0</v>
      </c>
      <c r="E46" s="494">
        <f>Package_Services!E48</f>
        <v>0</v>
      </c>
      <c r="F46" s="494">
        <f>Package_Services!F48</f>
        <v>0</v>
      </c>
      <c r="G46" s="491">
        <f>Package_Services!G48</f>
        <v>0</v>
      </c>
      <c r="H46" s="494">
        <f>Package_Services!H48</f>
        <v>0</v>
      </c>
      <c r="I46" s="494">
        <f>Package_Services!I48</f>
        <v>0</v>
      </c>
      <c r="K46" s="92">
        <f t="shared" ref="K46:P55" si="11">IF($D46=0,0,VLOOKUP($D46,lookup_demography,K$3,FALSE))</f>
        <v>0</v>
      </c>
      <c r="L46" s="92">
        <f t="shared" si="11"/>
        <v>0</v>
      </c>
      <c r="M46" s="92">
        <f t="shared" si="11"/>
        <v>0</v>
      </c>
      <c r="N46" s="92">
        <f t="shared" si="11"/>
        <v>0</v>
      </c>
      <c r="O46" s="92">
        <f t="shared" si="11"/>
        <v>0</v>
      </c>
      <c r="P46" s="92">
        <f t="shared" si="11"/>
        <v>0</v>
      </c>
      <c r="R46" s="495">
        <f t="shared" si="2"/>
        <v>0</v>
      </c>
      <c r="S46" s="495">
        <f t="shared" si="3"/>
        <v>0</v>
      </c>
      <c r="T46" s="495">
        <f t="shared" si="4"/>
        <v>0</v>
      </c>
      <c r="U46" s="495">
        <f t="shared" si="5"/>
        <v>0</v>
      </c>
      <c r="V46" s="495">
        <f t="shared" si="6"/>
        <v>0</v>
      </c>
      <c r="W46" s="495">
        <f t="shared" si="7"/>
        <v>0</v>
      </c>
      <c r="Y46" s="495">
        <f>IF(Coverage!$G$4="Actual",Coverage!$C49,Coverage!$G49*$R46)</f>
        <v>0</v>
      </c>
      <c r="Z46" s="496">
        <f>ROUNDUP(S46*Coverage!H49,0)</f>
        <v>0</v>
      </c>
      <c r="AA46" s="496">
        <f>ROUNDUP(T46*Coverage!I49,0)</f>
        <v>0</v>
      </c>
      <c r="AB46" s="496">
        <f>ROUNDUP(U46*Coverage!J49,0)</f>
        <v>0</v>
      </c>
      <c r="AC46" s="496">
        <f>ROUNDUP(V46*Coverage!K49,0)</f>
        <v>0</v>
      </c>
      <c r="AD46" s="496">
        <f>ROUNDUP(W46*Coverage!L49,0)</f>
        <v>0</v>
      </c>
    </row>
    <row r="47" spans="1:30">
      <c r="A47" s="1">
        <v>42</v>
      </c>
      <c r="B47" s="494">
        <f>Package_Services!B49</f>
        <v>0</v>
      </c>
      <c r="C47" s="494">
        <f>Package_Services!C49</f>
        <v>0</v>
      </c>
      <c r="D47" s="494">
        <f>Package_Services!D49</f>
        <v>0</v>
      </c>
      <c r="E47" s="494">
        <f>Package_Services!E49</f>
        <v>0</v>
      </c>
      <c r="F47" s="494">
        <f>Package_Services!F49</f>
        <v>0</v>
      </c>
      <c r="G47" s="491">
        <f>Package_Services!G49</f>
        <v>0</v>
      </c>
      <c r="H47" s="494">
        <f>Package_Services!H49</f>
        <v>0</v>
      </c>
      <c r="I47" s="494">
        <f>Package_Services!I49</f>
        <v>0</v>
      </c>
      <c r="K47" s="92">
        <f t="shared" si="11"/>
        <v>0</v>
      </c>
      <c r="L47" s="92">
        <f t="shared" si="11"/>
        <v>0</v>
      </c>
      <c r="M47" s="92">
        <f t="shared" si="11"/>
        <v>0</v>
      </c>
      <c r="N47" s="92">
        <f t="shared" si="11"/>
        <v>0</v>
      </c>
      <c r="O47" s="92">
        <f t="shared" si="11"/>
        <v>0</v>
      </c>
      <c r="P47" s="92">
        <f t="shared" si="11"/>
        <v>0</v>
      </c>
      <c r="R47" s="495">
        <f t="shared" si="2"/>
        <v>0</v>
      </c>
      <c r="S47" s="495">
        <f t="shared" si="3"/>
        <v>0</v>
      </c>
      <c r="T47" s="495">
        <f t="shared" si="4"/>
        <v>0</v>
      </c>
      <c r="U47" s="495">
        <f t="shared" si="5"/>
        <v>0</v>
      </c>
      <c r="V47" s="495">
        <f t="shared" si="6"/>
        <v>0</v>
      </c>
      <c r="W47" s="495">
        <f t="shared" si="7"/>
        <v>0</v>
      </c>
      <c r="Y47" s="495">
        <f>IF(Coverage!$G$4="Actual",Coverage!$C50,Coverage!$G50*$R47)</f>
        <v>0</v>
      </c>
      <c r="Z47" s="496">
        <f>ROUNDUP(S47*Coverage!H50,0)</f>
        <v>0</v>
      </c>
      <c r="AA47" s="496">
        <f>ROUNDUP(T47*Coverage!I50,0)</f>
        <v>0</v>
      </c>
      <c r="AB47" s="496">
        <f>ROUNDUP(U47*Coverage!J50,0)</f>
        <v>0</v>
      </c>
      <c r="AC47" s="496">
        <f>ROUNDUP(V47*Coverage!K50,0)</f>
        <v>0</v>
      </c>
      <c r="AD47" s="496">
        <f>ROUNDUP(W47*Coverage!L50,0)</f>
        <v>0</v>
      </c>
    </row>
    <row r="48" spans="1:30">
      <c r="A48" s="1">
        <v>43</v>
      </c>
      <c r="B48" s="494">
        <f>Package_Services!B50</f>
        <v>0</v>
      </c>
      <c r="C48" s="494">
        <f>Package_Services!C50</f>
        <v>0</v>
      </c>
      <c r="D48" s="494">
        <f>Package_Services!D50</f>
        <v>0</v>
      </c>
      <c r="E48" s="494">
        <f>Package_Services!E50</f>
        <v>0</v>
      </c>
      <c r="F48" s="494">
        <f>Package_Services!F50</f>
        <v>0</v>
      </c>
      <c r="G48" s="491">
        <f>Package_Services!G50</f>
        <v>0</v>
      </c>
      <c r="H48" s="494">
        <f>Package_Services!H50</f>
        <v>0</v>
      </c>
      <c r="I48" s="494">
        <f>Package_Services!I50</f>
        <v>0</v>
      </c>
      <c r="K48" s="92">
        <f t="shared" si="11"/>
        <v>0</v>
      </c>
      <c r="L48" s="92">
        <f t="shared" si="11"/>
        <v>0</v>
      </c>
      <c r="M48" s="92">
        <f t="shared" si="11"/>
        <v>0</v>
      </c>
      <c r="N48" s="92">
        <f t="shared" si="11"/>
        <v>0</v>
      </c>
      <c r="O48" s="92">
        <f t="shared" si="11"/>
        <v>0</v>
      </c>
      <c r="P48" s="92">
        <f t="shared" si="11"/>
        <v>0</v>
      </c>
      <c r="R48" s="495">
        <f t="shared" si="2"/>
        <v>0</v>
      </c>
      <c r="S48" s="495">
        <f t="shared" si="3"/>
        <v>0</v>
      </c>
      <c r="T48" s="495">
        <f t="shared" si="4"/>
        <v>0</v>
      </c>
      <c r="U48" s="495">
        <f t="shared" si="5"/>
        <v>0</v>
      </c>
      <c r="V48" s="495">
        <f t="shared" si="6"/>
        <v>0</v>
      </c>
      <c r="W48" s="495">
        <f t="shared" si="7"/>
        <v>0</v>
      </c>
      <c r="Y48" s="495">
        <f>IF(Coverage!$G$4="Actual",Coverage!$C51,Coverage!$G51*$R48)</f>
        <v>0</v>
      </c>
      <c r="Z48" s="496">
        <f>ROUNDUP(S48*Coverage!H51,0)</f>
        <v>0</v>
      </c>
      <c r="AA48" s="496">
        <f>ROUNDUP(T48*Coverage!I51,0)</f>
        <v>0</v>
      </c>
      <c r="AB48" s="496">
        <f>ROUNDUP(U48*Coverage!J51,0)</f>
        <v>0</v>
      </c>
      <c r="AC48" s="496">
        <f>ROUNDUP(V48*Coverage!K51,0)</f>
        <v>0</v>
      </c>
      <c r="AD48" s="496">
        <f>ROUNDUP(W48*Coverage!L51,0)</f>
        <v>0</v>
      </c>
    </row>
    <row r="49" spans="1:30">
      <c r="A49" s="1">
        <v>44</v>
      </c>
      <c r="B49" s="494">
        <f>Package_Services!B51</f>
        <v>0</v>
      </c>
      <c r="C49" s="494">
        <f>Package_Services!C51</f>
        <v>0</v>
      </c>
      <c r="D49" s="494">
        <f>Package_Services!D51</f>
        <v>0</v>
      </c>
      <c r="E49" s="494">
        <f>Package_Services!E51</f>
        <v>0</v>
      </c>
      <c r="F49" s="494">
        <f>Package_Services!F51</f>
        <v>0</v>
      </c>
      <c r="G49" s="491">
        <f>Package_Services!G51</f>
        <v>0</v>
      </c>
      <c r="H49" s="494">
        <f>Package_Services!H51</f>
        <v>0</v>
      </c>
      <c r="I49" s="494">
        <f>Package_Services!I51</f>
        <v>0</v>
      </c>
      <c r="K49" s="92">
        <f t="shared" si="11"/>
        <v>0</v>
      </c>
      <c r="L49" s="92">
        <f t="shared" si="11"/>
        <v>0</v>
      </c>
      <c r="M49" s="92">
        <f t="shared" si="11"/>
        <v>0</v>
      </c>
      <c r="N49" s="92">
        <f t="shared" si="11"/>
        <v>0</v>
      </c>
      <c r="O49" s="92">
        <f t="shared" si="11"/>
        <v>0</v>
      </c>
      <c r="P49" s="92">
        <f t="shared" si="11"/>
        <v>0</v>
      </c>
      <c r="R49" s="495">
        <f t="shared" si="2"/>
        <v>0</v>
      </c>
      <c r="S49" s="495">
        <f t="shared" si="3"/>
        <v>0</v>
      </c>
      <c r="T49" s="495">
        <f t="shared" si="4"/>
        <v>0</v>
      </c>
      <c r="U49" s="495">
        <f t="shared" si="5"/>
        <v>0</v>
      </c>
      <c r="V49" s="495">
        <f t="shared" si="6"/>
        <v>0</v>
      </c>
      <c r="W49" s="495">
        <f t="shared" si="7"/>
        <v>0</v>
      </c>
      <c r="Y49" s="495">
        <f>IF(Coverage!$G$4="Actual",Coverage!$C52,Coverage!$G52*$R49)</f>
        <v>0</v>
      </c>
      <c r="Z49" s="496">
        <f>ROUNDUP(S49*Coverage!H52,0)</f>
        <v>0</v>
      </c>
      <c r="AA49" s="496">
        <f>ROUNDUP(T49*Coverage!I52,0)</f>
        <v>0</v>
      </c>
      <c r="AB49" s="496">
        <f>ROUNDUP(U49*Coverage!J52,0)</f>
        <v>0</v>
      </c>
      <c r="AC49" s="496">
        <f>ROUNDUP(V49*Coverage!K52,0)</f>
        <v>0</v>
      </c>
      <c r="AD49" s="496">
        <f>ROUNDUP(W49*Coverage!L52,0)</f>
        <v>0</v>
      </c>
    </row>
    <row r="50" spans="1:30">
      <c r="A50" s="1">
        <v>45</v>
      </c>
      <c r="B50" s="494">
        <f>Package_Services!B52</f>
        <v>0</v>
      </c>
      <c r="C50" s="494">
        <f>Package_Services!C52</f>
        <v>0</v>
      </c>
      <c r="D50" s="494">
        <f>Package_Services!D52</f>
        <v>0</v>
      </c>
      <c r="E50" s="494">
        <f>Package_Services!E52</f>
        <v>0</v>
      </c>
      <c r="F50" s="494">
        <f>Package_Services!F52</f>
        <v>0</v>
      </c>
      <c r="G50" s="491">
        <f>Package_Services!G52</f>
        <v>0</v>
      </c>
      <c r="H50" s="494">
        <f>Package_Services!H52</f>
        <v>0</v>
      </c>
      <c r="I50" s="494">
        <f>Package_Services!I52</f>
        <v>0</v>
      </c>
      <c r="K50" s="92">
        <f t="shared" si="11"/>
        <v>0</v>
      </c>
      <c r="L50" s="92">
        <f t="shared" si="11"/>
        <v>0</v>
      </c>
      <c r="M50" s="92">
        <f t="shared" si="11"/>
        <v>0</v>
      </c>
      <c r="N50" s="92">
        <f t="shared" si="11"/>
        <v>0</v>
      </c>
      <c r="O50" s="92">
        <f t="shared" si="11"/>
        <v>0</v>
      </c>
      <c r="P50" s="92">
        <f t="shared" si="11"/>
        <v>0</v>
      </c>
      <c r="R50" s="495">
        <f t="shared" si="2"/>
        <v>0</v>
      </c>
      <c r="S50" s="495">
        <f t="shared" si="3"/>
        <v>0</v>
      </c>
      <c r="T50" s="495">
        <f t="shared" si="4"/>
        <v>0</v>
      </c>
      <c r="U50" s="495">
        <f t="shared" si="5"/>
        <v>0</v>
      </c>
      <c r="V50" s="495">
        <f t="shared" si="6"/>
        <v>0</v>
      </c>
      <c r="W50" s="495">
        <f t="shared" si="7"/>
        <v>0</v>
      </c>
      <c r="Y50" s="495">
        <f>IF(Coverage!$G$4="Actual",Coverage!$C53,Coverage!$G53*$R50)</f>
        <v>0</v>
      </c>
      <c r="Z50" s="496">
        <f>ROUNDUP(S50*Coverage!H53,0)</f>
        <v>0</v>
      </c>
      <c r="AA50" s="496">
        <f>ROUNDUP(T50*Coverage!I53,0)</f>
        <v>0</v>
      </c>
      <c r="AB50" s="496">
        <f>ROUNDUP(U50*Coverage!J53,0)</f>
        <v>0</v>
      </c>
      <c r="AC50" s="496">
        <f>ROUNDUP(V50*Coverage!K53,0)</f>
        <v>0</v>
      </c>
      <c r="AD50" s="496">
        <f>ROUNDUP(W50*Coverage!L53,0)</f>
        <v>0</v>
      </c>
    </row>
    <row r="51" spans="1:30">
      <c r="A51" s="1">
        <v>46</v>
      </c>
      <c r="B51" s="494">
        <f>Package_Services!B53</f>
        <v>0</v>
      </c>
      <c r="C51" s="494">
        <f>Package_Services!C53</f>
        <v>0</v>
      </c>
      <c r="D51" s="494">
        <f>Package_Services!D53</f>
        <v>0</v>
      </c>
      <c r="E51" s="494">
        <f>Package_Services!E53</f>
        <v>0</v>
      </c>
      <c r="F51" s="494">
        <f>Package_Services!F53</f>
        <v>0</v>
      </c>
      <c r="G51" s="491">
        <f>Package_Services!G53</f>
        <v>0</v>
      </c>
      <c r="H51" s="494">
        <f>Package_Services!H53</f>
        <v>0</v>
      </c>
      <c r="I51" s="494">
        <f>Package_Services!I53</f>
        <v>0</v>
      </c>
      <c r="K51" s="92">
        <f t="shared" si="11"/>
        <v>0</v>
      </c>
      <c r="L51" s="92">
        <f t="shared" si="11"/>
        <v>0</v>
      </c>
      <c r="M51" s="92">
        <f t="shared" si="11"/>
        <v>0</v>
      </c>
      <c r="N51" s="92">
        <f t="shared" si="11"/>
        <v>0</v>
      </c>
      <c r="O51" s="92">
        <f t="shared" si="11"/>
        <v>0</v>
      </c>
      <c r="P51" s="92">
        <f t="shared" si="11"/>
        <v>0</v>
      </c>
      <c r="R51" s="495">
        <f t="shared" si="2"/>
        <v>0</v>
      </c>
      <c r="S51" s="495">
        <f t="shared" si="3"/>
        <v>0</v>
      </c>
      <c r="T51" s="495">
        <f t="shared" si="4"/>
        <v>0</v>
      </c>
      <c r="U51" s="495">
        <f t="shared" si="5"/>
        <v>0</v>
      </c>
      <c r="V51" s="495">
        <f t="shared" si="6"/>
        <v>0</v>
      </c>
      <c r="W51" s="495">
        <f t="shared" si="7"/>
        <v>0</v>
      </c>
      <c r="Y51" s="495">
        <f>IF(Coverage!$G$4="Actual",Coverage!$C54,Coverage!$G54*$R51)</f>
        <v>0</v>
      </c>
      <c r="Z51" s="496">
        <f>ROUNDUP(S51*Coverage!H54,0)</f>
        <v>0</v>
      </c>
      <c r="AA51" s="496">
        <f>ROUNDUP(T51*Coverage!I54,0)</f>
        <v>0</v>
      </c>
      <c r="AB51" s="496">
        <f>ROUNDUP(U51*Coverage!J54,0)</f>
        <v>0</v>
      </c>
      <c r="AC51" s="496">
        <f>ROUNDUP(V51*Coverage!K54,0)</f>
        <v>0</v>
      </c>
      <c r="AD51" s="496">
        <f>ROUNDUP(W51*Coverage!L54,0)</f>
        <v>0</v>
      </c>
    </row>
    <row r="52" spans="1:30">
      <c r="A52" s="1">
        <v>47</v>
      </c>
      <c r="B52" s="494">
        <f>Package_Services!B54</f>
        <v>0</v>
      </c>
      <c r="C52" s="494">
        <f>Package_Services!C54</f>
        <v>0</v>
      </c>
      <c r="D52" s="494">
        <f>Package_Services!D54</f>
        <v>0</v>
      </c>
      <c r="E52" s="494">
        <f>Package_Services!E54</f>
        <v>0</v>
      </c>
      <c r="F52" s="494">
        <f>Package_Services!F54</f>
        <v>0</v>
      </c>
      <c r="G52" s="491">
        <f>Package_Services!G54</f>
        <v>0</v>
      </c>
      <c r="H52" s="494">
        <f>Package_Services!H54</f>
        <v>0</v>
      </c>
      <c r="I52" s="494">
        <f>Package_Services!I54</f>
        <v>0</v>
      </c>
      <c r="K52" s="92">
        <f t="shared" si="11"/>
        <v>0</v>
      </c>
      <c r="L52" s="92">
        <f t="shared" si="11"/>
        <v>0</v>
      </c>
      <c r="M52" s="92">
        <f t="shared" si="11"/>
        <v>0</v>
      </c>
      <c r="N52" s="92">
        <f t="shared" si="11"/>
        <v>0</v>
      </c>
      <c r="O52" s="92">
        <f t="shared" si="11"/>
        <v>0</v>
      </c>
      <c r="P52" s="92">
        <f t="shared" si="11"/>
        <v>0</v>
      </c>
      <c r="R52" s="495">
        <f t="shared" si="2"/>
        <v>0</v>
      </c>
      <c r="S52" s="495">
        <f t="shared" si="3"/>
        <v>0</v>
      </c>
      <c r="T52" s="495">
        <f t="shared" si="4"/>
        <v>0</v>
      </c>
      <c r="U52" s="495">
        <f t="shared" si="5"/>
        <v>0</v>
      </c>
      <c r="V52" s="495">
        <f t="shared" si="6"/>
        <v>0</v>
      </c>
      <c r="W52" s="495">
        <f t="shared" si="7"/>
        <v>0</v>
      </c>
      <c r="Y52" s="495">
        <f>IF(Coverage!$G$4="Actual",Coverage!$C55,Coverage!$G55*$R52)</f>
        <v>0</v>
      </c>
      <c r="Z52" s="496">
        <f>ROUNDUP(S52*Coverage!H55,0)</f>
        <v>0</v>
      </c>
      <c r="AA52" s="496">
        <f>ROUNDUP(T52*Coverage!I55,0)</f>
        <v>0</v>
      </c>
      <c r="AB52" s="496">
        <f>ROUNDUP(U52*Coverage!J55,0)</f>
        <v>0</v>
      </c>
      <c r="AC52" s="496">
        <f>ROUNDUP(V52*Coverage!K55,0)</f>
        <v>0</v>
      </c>
      <c r="AD52" s="496">
        <f>ROUNDUP(W52*Coverage!L55,0)</f>
        <v>0</v>
      </c>
    </row>
    <row r="53" spans="1:30">
      <c r="A53" s="1">
        <v>48</v>
      </c>
      <c r="B53" s="494">
        <f>Package_Services!B55</f>
        <v>0</v>
      </c>
      <c r="C53" s="494">
        <f>Package_Services!C55</f>
        <v>0</v>
      </c>
      <c r="D53" s="494">
        <f>Package_Services!D55</f>
        <v>0</v>
      </c>
      <c r="E53" s="494">
        <f>Package_Services!E55</f>
        <v>0</v>
      </c>
      <c r="F53" s="494">
        <f>Package_Services!F55</f>
        <v>0</v>
      </c>
      <c r="G53" s="491">
        <f>Package_Services!G55</f>
        <v>0</v>
      </c>
      <c r="H53" s="494">
        <f>Package_Services!H55</f>
        <v>0</v>
      </c>
      <c r="I53" s="494">
        <f>Package_Services!I55</f>
        <v>0</v>
      </c>
      <c r="K53" s="92">
        <f t="shared" si="11"/>
        <v>0</v>
      </c>
      <c r="L53" s="92">
        <f t="shared" si="11"/>
        <v>0</v>
      </c>
      <c r="M53" s="92">
        <f t="shared" si="11"/>
        <v>0</v>
      </c>
      <c r="N53" s="92">
        <f t="shared" si="11"/>
        <v>0</v>
      </c>
      <c r="O53" s="92">
        <f t="shared" si="11"/>
        <v>0</v>
      </c>
      <c r="P53" s="92">
        <f t="shared" si="11"/>
        <v>0</v>
      </c>
      <c r="R53" s="495">
        <f t="shared" si="2"/>
        <v>0</v>
      </c>
      <c r="S53" s="495">
        <f t="shared" si="3"/>
        <v>0</v>
      </c>
      <c r="T53" s="495">
        <f t="shared" si="4"/>
        <v>0</v>
      </c>
      <c r="U53" s="495">
        <f t="shared" si="5"/>
        <v>0</v>
      </c>
      <c r="V53" s="495">
        <f t="shared" si="6"/>
        <v>0</v>
      </c>
      <c r="W53" s="495">
        <f t="shared" si="7"/>
        <v>0</v>
      </c>
      <c r="Y53" s="495">
        <f>IF(Coverage!$G$4="Actual",Coverage!$C56,Coverage!$G56*$R53)</f>
        <v>0</v>
      </c>
      <c r="Z53" s="496">
        <f>ROUNDUP(S53*Coverage!H56,0)</f>
        <v>0</v>
      </c>
      <c r="AA53" s="496">
        <f>ROUNDUP(T53*Coverage!I56,0)</f>
        <v>0</v>
      </c>
      <c r="AB53" s="496">
        <f>ROUNDUP(U53*Coverage!J56,0)</f>
        <v>0</v>
      </c>
      <c r="AC53" s="496">
        <f>ROUNDUP(V53*Coverage!K56,0)</f>
        <v>0</v>
      </c>
      <c r="AD53" s="496">
        <f>ROUNDUP(W53*Coverage!L56,0)</f>
        <v>0</v>
      </c>
    </row>
    <row r="54" spans="1:30">
      <c r="A54" s="1">
        <v>49</v>
      </c>
      <c r="B54" s="494">
        <f>Package_Services!B56</f>
        <v>0</v>
      </c>
      <c r="C54" s="494">
        <f>Package_Services!C56</f>
        <v>0</v>
      </c>
      <c r="D54" s="494">
        <f>Package_Services!D56</f>
        <v>0</v>
      </c>
      <c r="E54" s="494">
        <f>Package_Services!E56</f>
        <v>0</v>
      </c>
      <c r="F54" s="494">
        <f>Package_Services!F56</f>
        <v>0</v>
      </c>
      <c r="G54" s="491">
        <f>Package_Services!G56</f>
        <v>0</v>
      </c>
      <c r="H54" s="494">
        <f>Package_Services!H56</f>
        <v>0</v>
      </c>
      <c r="I54" s="494">
        <f>Package_Services!I56</f>
        <v>0</v>
      </c>
      <c r="K54" s="92">
        <f t="shared" si="11"/>
        <v>0</v>
      </c>
      <c r="L54" s="92">
        <f t="shared" si="11"/>
        <v>0</v>
      </c>
      <c r="M54" s="92">
        <f t="shared" si="11"/>
        <v>0</v>
      </c>
      <c r="N54" s="92">
        <f t="shared" si="11"/>
        <v>0</v>
      </c>
      <c r="O54" s="92">
        <f t="shared" si="11"/>
        <v>0</v>
      </c>
      <c r="P54" s="92">
        <f t="shared" si="11"/>
        <v>0</v>
      </c>
      <c r="R54" s="495">
        <f t="shared" si="2"/>
        <v>0</v>
      </c>
      <c r="S54" s="495">
        <f t="shared" si="3"/>
        <v>0</v>
      </c>
      <c r="T54" s="495">
        <f t="shared" si="4"/>
        <v>0</v>
      </c>
      <c r="U54" s="495">
        <f t="shared" si="5"/>
        <v>0</v>
      </c>
      <c r="V54" s="495">
        <f t="shared" si="6"/>
        <v>0</v>
      </c>
      <c r="W54" s="495">
        <f t="shared" si="7"/>
        <v>0</v>
      </c>
      <c r="Y54" s="495">
        <f>IF(Coverage!$G$4="Actual",Coverage!$C57,Coverage!$G57*$R54)</f>
        <v>0</v>
      </c>
      <c r="Z54" s="496">
        <f>ROUNDUP(S54*Coverage!H57,0)</f>
        <v>0</v>
      </c>
      <c r="AA54" s="496">
        <f>ROUNDUP(T54*Coverage!I57,0)</f>
        <v>0</v>
      </c>
      <c r="AB54" s="496">
        <f>ROUNDUP(U54*Coverage!J57,0)</f>
        <v>0</v>
      </c>
      <c r="AC54" s="496">
        <f>ROUNDUP(V54*Coverage!K57,0)</f>
        <v>0</v>
      </c>
      <c r="AD54" s="496">
        <f>ROUNDUP(W54*Coverage!L57,0)</f>
        <v>0</v>
      </c>
    </row>
    <row r="55" spans="1:30">
      <c r="A55" s="1">
        <v>50</v>
      </c>
      <c r="B55" s="494">
        <f>Package_Services!B57</f>
        <v>0</v>
      </c>
      <c r="C55" s="494">
        <f>Package_Services!C57</f>
        <v>0</v>
      </c>
      <c r="D55" s="494">
        <f>Package_Services!D57</f>
        <v>0</v>
      </c>
      <c r="E55" s="494">
        <f>Package_Services!E57</f>
        <v>0</v>
      </c>
      <c r="F55" s="494">
        <f>Package_Services!F57</f>
        <v>0</v>
      </c>
      <c r="G55" s="491">
        <f>Package_Services!G57</f>
        <v>0</v>
      </c>
      <c r="H55" s="494">
        <f>Package_Services!H57</f>
        <v>0</v>
      </c>
      <c r="I55" s="494">
        <f>Package_Services!I57</f>
        <v>0</v>
      </c>
      <c r="K55" s="92">
        <f t="shared" si="11"/>
        <v>0</v>
      </c>
      <c r="L55" s="92">
        <f t="shared" si="11"/>
        <v>0</v>
      </c>
      <c r="M55" s="92">
        <f t="shared" si="11"/>
        <v>0</v>
      </c>
      <c r="N55" s="92">
        <f t="shared" si="11"/>
        <v>0</v>
      </c>
      <c r="O55" s="92">
        <f t="shared" si="11"/>
        <v>0</v>
      </c>
      <c r="P55" s="92">
        <f t="shared" si="11"/>
        <v>0</v>
      </c>
      <c r="R55" s="495">
        <f t="shared" si="2"/>
        <v>0</v>
      </c>
      <c r="S55" s="495">
        <f t="shared" si="3"/>
        <v>0</v>
      </c>
      <c r="T55" s="495">
        <f t="shared" si="4"/>
        <v>0</v>
      </c>
      <c r="U55" s="495">
        <f t="shared" si="5"/>
        <v>0</v>
      </c>
      <c r="V55" s="495">
        <f t="shared" si="6"/>
        <v>0</v>
      </c>
      <c r="W55" s="495">
        <f t="shared" si="7"/>
        <v>0</v>
      </c>
      <c r="Y55" s="495">
        <f>IF(Coverage!$G$4="Actual",Coverage!$C58,Coverage!$G58*$R55)</f>
        <v>0</v>
      </c>
      <c r="Z55" s="496">
        <f>ROUNDUP(S55*Coverage!H58,0)</f>
        <v>0</v>
      </c>
      <c r="AA55" s="496">
        <f>ROUNDUP(T55*Coverage!I58,0)</f>
        <v>0</v>
      </c>
      <c r="AB55" s="496">
        <f>ROUNDUP(U55*Coverage!J58,0)</f>
        <v>0</v>
      </c>
      <c r="AC55" s="496">
        <f>ROUNDUP(V55*Coverage!K58,0)</f>
        <v>0</v>
      </c>
      <c r="AD55" s="496">
        <f>ROUNDUP(W55*Coverage!L58,0)</f>
        <v>0</v>
      </c>
    </row>
    <row r="56" spans="1:30">
      <c r="A56" s="1">
        <v>51</v>
      </c>
      <c r="B56" s="494">
        <f>Package_Services!B58</f>
        <v>0</v>
      </c>
      <c r="C56" s="494">
        <f>Package_Services!C58</f>
        <v>0</v>
      </c>
      <c r="D56" s="494">
        <f>Package_Services!D58</f>
        <v>0</v>
      </c>
      <c r="E56" s="494">
        <f>Package_Services!E58</f>
        <v>0</v>
      </c>
      <c r="F56" s="494">
        <f>Package_Services!F58</f>
        <v>0</v>
      </c>
      <c r="G56" s="491">
        <f>Package_Services!G58</f>
        <v>0</v>
      </c>
      <c r="H56" s="494">
        <f>Package_Services!H58</f>
        <v>0</v>
      </c>
      <c r="I56" s="494">
        <f>Package_Services!I58</f>
        <v>0</v>
      </c>
      <c r="K56" s="92">
        <f t="shared" ref="K56:P65" si="12">IF($D56=0,0,VLOOKUP($D56,lookup_demography,K$3,FALSE))</f>
        <v>0</v>
      </c>
      <c r="L56" s="92">
        <f t="shared" si="12"/>
        <v>0</v>
      </c>
      <c r="M56" s="92">
        <f t="shared" si="12"/>
        <v>0</v>
      </c>
      <c r="N56" s="92">
        <f t="shared" si="12"/>
        <v>0</v>
      </c>
      <c r="O56" s="92">
        <f t="shared" si="12"/>
        <v>0</v>
      </c>
      <c r="P56" s="92">
        <f t="shared" si="12"/>
        <v>0</v>
      </c>
      <c r="R56" s="495">
        <f t="shared" si="2"/>
        <v>0</v>
      </c>
      <c r="S56" s="495">
        <f t="shared" si="3"/>
        <v>0</v>
      </c>
      <c r="T56" s="495">
        <f t="shared" si="4"/>
        <v>0</v>
      </c>
      <c r="U56" s="495">
        <f t="shared" si="5"/>
        <v>0</v>
      </c>
      <c r="V56" s="495">
        <f t="shared" si="6"/>
        <v>0</v>
      </c>
      <c r="W56" s="495">
        <f t="shared" si="7"/>
        <v>0</v>
      </c>
      <c r="Y56" s="495">
        <f>IF(Coverage!$G$4="Actual",Coverage!$C59,Coverage!$G59*$R56)</f>
        <v>0</v>
      </c>
      <c r="Z56" s="496">
        <f>ROUNDUP(S56*Coverage!H59,0)</f>
        <v>0</v>
      </c>
      <c r="AA56" s="496">
        <f>ROUNDUP(T56*Coverage!I59,0)</f>
        <v>0</v>
      </c>
      <c r="AB56" s="496">
        <f>ROUNDUP(U56*Coverage!J59,0)</f>
        <v>0</v>
      </c>
      <c r="AC56" s="496">
        <f>ROUNDUP(V56*Coverage!K59,0)</f>
        <v>0</v>
      </c>
      <c r="AD56" s="496">
        <f>ROUNDUP(W56*Coverage!L59,0)</f>
        <v>0</v>
      </c>
    </row>
    <row r="57" spans="1:30">
      <c r="A57" s="1">
        <v>52</v>
      </c>
      <c r="B57" s="494">
        <f>Package_Services!B59</f>
        <v>0</v>
      </c>
      <c r="C57" s="494">
        <f>Package_Services!C59</f>
        <v>0</v>
      </c>
      <c r="D57" s="494">
        <f>Package_Services!D59</f>
        <v>0</v>
      </c>
      <c r="E57" s="494">
        <f>Package_Services!E59</f>
        <v>0</v>
      </c>
      <c r="F57" s="494">
        <f>Package_Services!F59</f>
        <v>0</v>
      </c>
      <c r="G57" s="491">
        <f>Package_Services!G59</f>
        <v>0</v>
      </c>
      <c r="H57" s="494">
        <f>Package_Services!H59</f>
        <v>0</v>
      </c>
      <c r="I57" s="494">
        <f>Package_Services!I59</f>
        <v>0</v>
      </c>
      <c r="K57" s="92">
        <f t="shared" si="12"/>
        <v>0</v>
      </c>
      <c r="L57" s="92">
        <f t="shared" si="12"/>
        <v>0</v>
      </c>
      <c r="M57" s="92">
        <f t="shared" si="12"/>
        <v>0</v>
      </c>
      <c r="N57" s="92">
        <f t="shared" si="12"/>
        <v>0</v>
      </c>
      <c r="O57" s="92">
        <f t="shared" si="12"/>
        <v>0</v>
      </c>
      <c r="P57" s="92">
        <f t="shared" si="12"/>
        <v>0</v>
      </c>
      <c r="R57" s="495">
        <f t="shared" si="2"/>
        <v>0</v>
      </c>
      <c r="S57" s="495">
        <f t="shared" si="3"/>
        <v>0</v>
      </c>
      <c r="T57" s="495">
        <f t="shared" si="4"/>
        <v>0</v>
      </c>
      <c r="U57" s="495">
        <f t="shared" si="5"/>
        <v>0</v>
      </c>
      <c r="V57" s="495">
        <f t="shared" si="6"/>
        <v>0</v>
      </c>
      <c r="W57" s="495">
        <f t="shared" si="7"/>
        <v>0</v>
      </c>
      <c r="Y57" s="495">
        <f>IF(Coverage!$G$4="Actual",Coverage!$C60,Coverage!$G60*$R57)</f>
        <v>0</v>
      </c>
      <c r="Z57" s="496">
        <f>ROUNDUP(S57*Coverage!H60,0)</f>
        <v>0</v>
      </c>
      <c r="AA57" s="496">
        <f>ROUNDUP(T57*Coverage!I60,0)</f>
        <v>0</v>
      </c>
      <c r="AB57" s="496">
        <f>ROUNDUP(U57*Coverage!J60,0)</f>
        <v>0</v>
      </c>
      <c r="AC57" s="496">
        <f>ROUNDUP(V57*Coverage!K60,0)</f>
        <v>0</v>
      </c>
      <c r="AD57" s="496">
        <f>ROUNDUP(W57*Coverage!L60,0)</f>
        <v>0</v>
      </c>
    </row>
    <row r="58" spans="1:30">
      <c r="A58" s="1">
        <v>53</v>
      </c>
      <c r="B58" s="494">
        <f>Package_Services!B60</f>
        <v>0</v>
      </c>
      <c r="C58" s="494">
        <f>Package_Services!C60</f>
        <v>0</v>
      </c>
      <c r="D58" s="494">
        <f>Package_Services!D60</f>
        <v>0</v>
      </c>
      <c r="E58" s="494">
        <f>Package_Services!E60</f>
        <v>0</v>
      </c>
      <c r="F58" s="494">
        <f>Package_Services!F60</f>
        <v>0</v>
      </c>
      <c r="G58" s="491">
        <f>Package_Services!G60</f>
        <v>0</v>
      </c>
      <c r="H58" s="494">
        <f>Package_Services!H60</f>
        <v>0</v>
      </c>
      <c r="I58" s="494">
        <f>Package_Services!I60</f>
        <v>0</v>
      </c>
      <c r="K58" s="92">
        <f t="shared" si="12"/>
        <v>0</v>
      </c>
      <c r="L58" s="92">
        <f t="shared" si="12"/>
        <v>0</v>
      </c>
      <c r="M58" s="92">
        <f t="shared" si="12"/>
        <v>0</v>
      </c>
      <c r="N58" s="92">
        <f t="shared" si="12"/>
        <v>0</v>
      </c>
      <c r="O58" s="92">
        <f t="shared" si="12"/>
        <v>0</v>
      </c>
      <c r="P58" s="92">
        <f t="shared" si="12"/>
        <v>0</v>
      </c>
      <c r="R58" s="495">
        <f t="shared" si="2"/>
        <v>0</v>
      </c>
      <c r="S58" s="495">
        <f t="shared" si="3"/>
        <v>0</v>
      </c>
      <c r="T58" s="495">
        <f t="shared" si="4"/>
        <v>0</v>
      </c>
      <c r="U58" s="495">
        <f t="shared" si="5"/>
        <v>0</v>
      </c>
      <c r="V58" s="495">
        <f t="shared" si="6"/>
        <v>0</v>
      </c>
      <c r="W58" s="495">
        <f t="shared" si="7"/>
        <v>0</v>
      </c>
      <c r="Y58" s="495">
        <f>IF(Coverage!$G$4="Actual",Coverage!$C61,Coverage!$G61*$R58)</f>
        <v>0</v>
      </c>
      <c r="Z58" s="496">
        <f>ROUNDUP(S58*Coverage!H61,0)</f>
        <v>0</v>
      </c>
      <c r="AA58" s="496">
        <f>ROUNDUP(T58*Coverage!I61,0)</f>
        <v>0</v>
      </c>
      <c r="AB58" s="496">
        <f>ROUNDUP(U58*Coverage!J61,0)</f>
        <v>0</v>
      </c>
      <c r="AC58" s="496">
        <f>ROUNDUP(V58*Coverage!K61,0)</f>
        <v>0</v>
      </c>
      <c r="AD58" s="496">
        <f>ROUNDUP(W58*Coverage!L61,0)</f>
        <v>0</v>
      </c>
    </row>
    <row r="59" spans="1:30">
      <c r="A59" s="1">
        <v>54</v>
      </c>
      <c r="B59" s="494">
        <f>Package_Services!B61</f>
        <v>0</v>
      </c>
      <c r="C59" s="494">
        <f>Package_Services!C61</f>
        <v>0</v>
      </c>
      <c r="D59" s="494">
        <f>Package_Services!D61</f>
        <v>0</v>
      </c>
      <c r="E59" s="494">
        <f>Package_Services!E61</f>
        <v>0</v>
      </c>
      <c r="F59" s="494">
        <f>Package_Services!F61</f>
        <v>0</v>
      </c>
      <c r="G59" s="491">
        <f>Package_Services!G61</f>
        <v>0</v>
      </c>
      <c r="H59" s="494">
        <f>Package_Services!H61</f>
        <v>0</v>
      </c>
      <c r="I59" s="494">
        <f>Package_Services!I61</f>
        <v>0</v>
      </c>
      <c r="K59" s="92">
        <f t="shared" si="12"/>
        <v>0</v>
      </c>
      <c r="L59" s="92">
        <f t="shared" si="12"/>
        <v>0</v>
      </c>
      <c r="M59" s="92">
        <f t="shared" si="12"/>
        <v>0</v>
      </c>
      <c r="N59" s="92">
        <f t="shared" si="12"/>
        <v>0</v>
      </c>
      <c r="O59" s="92">
        <f t="shared" si="12"/>
        <v>0</v>
      </c>
      <c r="P59" s="92">
        <f t="shared" si="12"/>
        <v>0</v>
      </c>
      <c r="R59" s="495">
        <f t="shared" si="2"/>
        <v>0</v>
      </c>
      <c r="S59" s="495">
        <f t="shared" si="3"/>
        <v>0</v>
      </c>
      <c r="T59" s="495">
        <f t="shared" si="4"/>
        <v>0</v>
      </c>
      <c r="U59" s="495">
        <f t="shared" si="5"/>
        <v>0</v>
      </c>
      <c r="V59" s="495">
        <f t="shared" si="6"/>
        <v>0</v>
      </c>
      <c r="W59" s="495">
        <f t="shared" si="7"/>
        <v>0</v>
      </c>
      <c r="Y59" s="495">
        <f>IF(Coverage!$G$4="Actual",Coverage!$C62,Coverage!$G62*$R59)</f>
        <v>0</v>
      </c>
      <c r="Z59" s="496">
        <f>ROUNDUP(S59*Coverage!H62,0)</f>
        <v>0</v>
      </c>
      <c r="AA59" s="496">
        <f>ROUNDUP(T59*Coverage!I62,0)</f>
        <v>0</v>
      </c>
      <c r="AB59" s="496">
        <f>ROUNDUP(U59*Coverage!J62,0)</f>
        <v>0</v>
      </c>
      <c r="AC59" s="496">
        <f>ROUNDUP(V59*Coverage!K62,0)</f>
        <v>0</v>
      </c>
      <c r="AD59" s="496">
        <f>ROUNDUP(W59*Coverage!L62,0)</f>
        <v>0</v>
      </c>
    </row>
    <row r="60" spans="1:30">
      <c r="A60" s="1">
        <v>55</v>
      </c>
      <c r="B60" s="494">
        <f>Package_Services!B62</f>
        <v>0</v>
      </c>
      <c r="C60" s="494">
        <f>Package_Services!C62</f>
        <v>0</v>
      </c>
      <c r="D60" s="494">
        <f>Package_Services!D62</f>
        <v>0</v>
      </c>
      <c r="E60" s="494">
        <f>Package_Services!E62</f>
        <v>0</v>
      </c>
      <c r="F60" s="494">
        <f>Package_Services!F62</f>
        <v>0</v>
      </c>
      <c r="G60" s="491">
        <f>Package_Services!G62</f>
        <v>0</v>
      </c>
      <c r="H60" s="494">
        <f>Package_Services!H62</f>
        <v>0</v>
      </c>
      <c r="I60" s="494">
        <f>Package_Services!I62</f>
        <v>0</v>
      </c>
      <c r="K60" s="92">
        <f t="shared" si="12"/>
        <v>0</v>
      </c>
      <c r="L60" s="92">
        <f t="shared" si="12"/>
        <v>0</v>
      </c>
      <c r="M60" s="92">
        <f t="shared" si="12"/>
        <v>0</v>
      </c>
      <c r="N60" s="92">
        <f t="shared" si="12"/>
        <v>0</v>
      </c>
      <c r="O60" s="92">
        <f t="shared" si="12"/>
        <v>0</v>
      </c>
      <c r="P60" s="92">
        <f t="shared" si="12"/>
        <v>0</v>
      </c>
      <c r="R60" s="495">
        <f t="shared" si="2"/>
        <v>0</v>
      </c>
      <c r="S60" s="495">
        <f t="shared" si="3"/>
        <v>0</v>
      </c>
      <c r="T60" s="495">
        <f t="shared" si="4"/>
        <v>0</v>
      </c>
      <c r="U60" s="495">
        <f t="shared" si="5"/>
        <v>0</v>
      </c>
      <c r="V60" s="495">
        <f t="shared" si="6"/>
        <v>0</v>
      </c>
      <c r="W60" s="495">
        <f t="shared" si="7"/>
        <v>0</v>
      </c>
      <c r="Y60" s="495">
        <f>IF(Coverage!$G$4="Actual",Coverage!$C63,Coverage!$G63*$R60)</f>
        <v>0</v>
      </c>
      <c r="Z60" s="496">
        <f>ROUNDUP(S60*Coverage!H63,0)</f>
        <v>0</v>
      </c>
      <c r="AA60" s="496">
        <f>ROUNDUP(T60*Coverage!I63,0)</f>
        <v>0</v>
      </c>
      <c r="AB60" s="496">
        <f>ROUNDUP(U60*Coverage!J63,0)</f>
        <v>0</v>
      </c>
      <c r="AC60" s="496">
        <f>ROUNDUP(V60*Coverage!K63,0)</f>
        <v>0</v>
      </c>
      <c r="AD60" s="496">
        <f>ROUNDUP(W60*Coverage!L63,0)</f>
        <v>0</v>
      </c>
    </row>
    <row r="61" spans="1:30">
      <c r="A61" s="1">
        <v>56</v>
      </c>
      <c r="B61" s="494">
        <f>Package_Services!B63</f>
        <v>0</v>
      </c>
      <c r="C61" s="494">
        <f>Package_Services!C63</f>
        <v>0</v>
      </c>
      <c r="D61" s="494">
        <f>Package_Services!D63</f>
        <v>0</v>
      </c>
      <c r="E61" s="494">
        <f>Package_Services!E63</f>
        <v>0</v>
      </c>
      <c r="F61" s="494">
        <f>Package_Services!F63</f>
        <v>0</v>
      </c>
      <c r="G61" s="491">
        <f>Package_Services!G63</f>
        <v>0</v>
      </c>
      <c r="H61" s="494">
        <f>Package_Services!H63</f>
        <v>0</v>
      </c>
      <c r="I61" s="494">
        <f>Package_Services!I63</f>
        <v>0</v>
      </c>
      <c r="K61" s="92">
        <f t="shared" si="12"/>
        <v>0</v>
      </c>
      <c r="L61" s="92">
        <f t="shared" si="12"/>
        <v>0</v>
      </c>
      <c r="M61" s="92">
        <f t="shared" si="12"/>
        <v>0</v>
      </c>
      <c r="N61" s="92">
        <f t="shared" si="12"/>
        <v>0</v>
      </c>
      <c r="O61" s="92">
        <f t="shared" si="12"/>
        <v>0</v>
      </c>
      <c r="P61" s="92">
        <f t="shared" si="12"/>
        <v>0</v>
      </c>
      <c r="R61" s="495">
        <f t="shared" si="2"/>
        <v>0</v>
      </c>
      <c r="S61" s="495">
        <f t="shared" si="3"/>
        <v>0</v>
      </c>
      <c r="T61" s="495">
        <f t="shared" si="4"/>
        <v>0</v>
      </c>
      <c r="U61" s="495">
        <f t="shared" si="5"/>
        <v>0</v>
      </c>
      <c r="V61" s="495">
        <f t="shared" si="6"/>
        <v>0</v>
      </c>
      <c r="W61" s="495">
        <f t="shared" si="7"/>
        <v>0</v>
      </c>
      <c r="Y61" s="495">
        <f>IF(Coverage!$G$4="Actual",Coverage!$C64,Coverage!$G64*$R61)</f>
        <v>0</v>
      </c>
      <c r="Z61" s="496">
        <f>ROUNDUP(S61*Coverage!H64,0)</f>
        <v>0</v>
      </c>
      <c r="AA61" s="496">
        <f>ROUNDUP(T61*Coverage!I64,0)</f>
        <v>0</v>
      </c>
      <c r="AB61" s="496">
        <f>ROUNDUP(U61*Coverage!J64,0)</f>
        <v>0</v>
      </c>
      <c r="AC61" s="496">
        <f>ROUNDUP(V61*Coverage!K64,0)</f>
        <v>0</v>
      </c>
      <c r="AD61" s="496">
        <f>ROUNDUP(W61*Coverage!L64,0)</f>
        <v>0</v>
      </c>
    </row>
    <row r="62" spans="1:30">
      <c r="A62" s="1">
        <v>57</v>
      </c>
      <c r="B62" s="494">
        <f>Package_Services!B64</f>
        <v>0</v>
      </c>
      <c r="C62" s="494">
        <f>Package_Services!C64</f>
        <v>0</v>
      </c>
      <c r="D62" s="494">
        <f>Package_Services!D64</f>
        <v>0</v>
      </c>
      <c r="E62" s="494">
        <f>Package_Services!E64</f>
        <v>0</v>
      </c>
      <c r="F62" s="494">
        <f>Package_Services!F64</f>
        <v>0</v>
      </c>
      <c r="G62" s="491">
        <f>Package_Services!G64</f>
        <v>0</v>
      </c>
      <c r="H62" s="494">
        <f>Package_Services!H64</f>
        <v>0</v>
      </c>
      <c r="I62" s="494">
        <f>Package_Services!I64</f>
        <v>0</v>
      </c>
      <c r="K62" s="92">
        <f t="shared" si="12"/>
        <v>0</v>
      </c>
      <c r="L62" s="92">
        <f t="shared" si="12"/>
        <v>0</v>
      </c>
      <c r="M62" s="92">
        <f t="shared" si="12"/>
        <v>0</v>
      </c>
      <c r="N62" s="92">
        <f t="shared" si="12"/>
        <v>0</v>
      </c>
      <c r="O62" s="92">
        <f t="shared" si="12"/>
        <v>0</v>
      </c>
      <c r="P62" s="92">
        <f t="shared" si="12"/>
        <v>0</v>
      </c>
      <c r="R62" s="495">
        <f t="shared" si="2"/>
        <v>0</v>
      </c>
      <c r="S62" s="495">
        <f t="shared" si="3"/>
        <v>0</v>
      </c>
      <c r="T62" s="495">
        <f t="shared" si="4"/>
        <v>0</v>
      </c>
      <c r="U62" s="495">
        <f t="shared" si="5"/>
        <v>0</v>
      </c>
      <c r="V62" s="495">
        <f t="shared" si="6"/>
        <v>0</v>
      </c>
      <c r="W62" s="495">
        <f t="shared" si="7"/>
        <v>0</v>
      </c>
      <c r="Y62" s="495">
        <f>IF(Coverage!$G$4="Actual",Coverage!$C65,Coverage!$G65*$R62)</f>
        <v>0</v>
      </c>
      <c r="Z62" s="496">
        <f>ROUNDUP(S62*Coverage!H65,0)</f>
        <v>0</v>
      </c>
      <c r="AA62" s="496">
        <f>ROUNDUP(T62*Coverage!I65,0)</f>
        <v>0</v>
      </c>
      <c r="AB62" s="496">
        <f>ROUNDUP(U62*Coverage!J65,0)</f>
        <v>0</v>
      </c>
      <c r="AC62" s="496">
        <f>ROUNDUP(V62*Coverage!K65,0)</f>
        <v>0</v>
      </c>
      <c r="AD62" s="496">
        <f>ROUNDUP(W62*Coverage!L65,0)</f>
        <v>0</v>
      </c>
    </row>
    <row r="63" spans="1:30">
      <c r="A63" s="1">
        <v>58</v>
      </c>
      <c r="B63" s="494">
        <f>Package_Services!B65</f>
        <v>0</v>
      </c>
      <c r="C63" s="494">
        <f>Package_Services!C65</f>
        <v>0</v>
      </c>
      <c r="D63" s="494">
        <f>Package_Services!D65</f>
        <v>0</v>
      </c>
      <c r="E63" s="494">
        <f>Package_Services!E65</f>
        <v>0</v>
      </c>
      <c r="F63" s="494">
        <f>Package_Services!F65</f>
        <v>0</v>
      </c>
      <c r="G63" s="491">
        <f>Package_Services!G65</f>
        <v>0</v>
      </c>
      <c r="H63" s="494">
        <f>Package_Services!H65</f>
        <v>0</v>
      </c>
      <c r="I63" s="494">
        <f>Package_Services!I65</f>
        <v>0</v>
      </c>
      <c r="K63" s="92">
        <f t="shared" si="12"/>
        <v>0</v>
      </c>
      <c r="L63" s="92">
        <f t="shared" si="12"/>
        <v>0</v>
      </c>
      <c r="M63" s="92">
        <f t="shared" si="12"/>
        <v>0</v>
      </c>
      <c r="N63" s="92">
        <f t="shared" si="12"/>
        <v>0</v>
      </c>
      <c r="O63" s="92">
        <f t="shared" si="12"/>
        <v>0</v>
      </c>
      <c r="P63" s="92">
        <f t="shared" si="12"/>
        <v>0</v>
      </c>
      <c r="R63" s="495">
        <f t="shared" si="2"/>
        <v>0</v>
      </c>
      <c r="S63" s="495">
        <f t="shared" si="3"/>
        <v>0</v>
      </c>
      <c r="T63" s="495">
        <f t="shared" si="4"/>
        <v>0</v>
      </c>
      <c r="U63" s="495">
        <f t="shared" si="5"/>
        <v>0</v>
      </c>
      <c r="V63" s="495">
        <f t="shared" si="6"/>
        <v>0</v>
      </c>
      <c r="W63" s="495">
        <f t="shared" si="7"/>
        <v>0</v>
      </c>
      <c r="Y63" s="495">
        <f>IF(Coverage!$G$4="Actual",Coverage!$C66,Coverage!$G66*$R63)</f>
        <v>0</v>
      </c>
      <c r="Z63" s="496">
        <f>ROUNDUP(S63*Coverage!H66,0)</f>
        <v>0</v>
      </c>
      <c r="AA63" s="496">
        <f>ROUNDUP(T63*Coverage!I66,0)</f>
        <v>0</v>
      </c>
      <c r="AB63" s="496">
        <f>ROUNDUP(U63*Coverage!J66,0)</f>
        <v>0</v>
      </c>
      <c r="AC63" s="496">
        <f>ROUNDUP(V63*Coverage!K66,0)</f>
        <v>0</v>
      </c>
      <c r="AD63" s="496">
        <f>ROUNDUP(W63*Coverage!L66,0)</f>
        <v>0</v>
      </c>
    </row>
    <row r="64" spans="1:30">
      <c r="A64" s="1">
        <v>59</v>
      </c>
      <c r="B64" s="494">
        <f>Package_Services!B66</f>
        <v>0</v>
      </c>
      <c r="C64" s="494">
        <f>Package_Services!C66</f>
        <v>0</v>
      </c>
      <c r="D64" s="494">
        <f>Package_Services!D66</f>
        <v>0</v>
      </c>
      <c r="E64" s="494">
        <f>Package_Services!E66</f>
        <v>0</v>
      </c>
      <c r="F64" s="494">
        <f>Package_Services!F66</f>
        <v>0</v>
      </c>
      <c r="G64" s="491">
        <f>Package_Services!G66</f>
        <v>0</v>
      </c>
      <c r="H64" s="494">
        <f>Package_Services!H66</f>
        <v>0</v>
      </c>
      <c r="I64" s="494">
        <f>Package_Services!I66</f>
        <v>0</v>
      </c>
      <c r="K64" s="92">
        <f t="shared" si="12"/>
        <v>0</v>
      </c>
      <c r="L64" s="92">
        <f t="shared" si="12"/>
        <v>0</v>
      </c>
      <c r="M64" s="92">
        <f t="shared" si="12"/>
        <v>0</v>
      </c>
      <c r="N64" s="92">
        <f t="shared" si="12"/>
        <v>0</v>
      </c>
      <c r="O64" s="92">
        <f t="shared" si="12"/>
        <v>0</v>
      </c>
      <c r="P64" s="92">
        <f t="shared" si="12"/>
        <v>0</v>
      </c>
      <c r="R64" s="495">
        <f t="shared" si="2"/>
        <v>0</v>
      </c>
      <c r="S64" s="495">
        <f t="shared" si="3"/>
        <v>0</v>
      </c>
      <c r="T64" s="495">
        <f t="shared" si="4"/>
        <v>0</v>
      </c>
      <c r="U64" s="495">
        <f t="shared" si="5"/>
        <v>0</v>
      </c>
      <c r="V64" s="495">
        <f t="shared" si="6"/>
        <v>0</v>
      </c>
      <c r="W64" s="495">
        <f t="shared" si="7"/>
        <v>0</v>
      </c>
      <c r="Y64" s="495">
        <f>IF(Coverage!$G$4="Actual",Coverage!$C67,Coverage!$G67*$R64)</f>
        <v>0</v>
      </c>
      <c r="Z64" s="496">
        <f>ROUNDUP(S64*Coverage!H67,0)</f>
        <v>0</v>
      </c>
      <c r="AA64" s="496">
        <f>ROUNDUP(T64*Coverage!I67,0)</f>
        <v>0</v>
      </c>
      <c r="AB64" s="496">
        <f>ROUNDUP(U64*Coverage!J67,0)</f>
        <v>0</v>
      </c>
      <c r="AC64" s="496">
        <f>ROUNDUP(V64*Coverage!K67,0)</f>
        <v>0</v>
      </c>
      <c r="AD64" s="496">
        <f>ROUNDUP(W64*Coverage!L67,0)</f>
        <v>0</v>
      </c>
    </row>
    <row r="65" spans="1:30">
      <c r="A65" s="1">
        <v>60</v>
      </c>
      <c r="B65" s="494">
        <f>Package_Services!B67</f>
        <v>0</v>
      </c>
      <c r="C65" s="494">
        <f>Package_Services!C67</f>
        <v>0</v>
      </c>
      <c r="D65" s="494">
        <f>Package_Services!D67</f>
        <v>0</v>
      </c>
      <c r="E65" s="494">
        <f>Package_Services!E67</f>
        <v>0</v>
      </c>
      <c r="F65" s="494">
        <f>Package_Services!F67</f>
        <v>0</v>
      </c>
      <c r="G65" s="491">
        <f>Package_Services!G67</f>
        <v>0</v>
      </c>
      <c r="H65" s="494">
        <f>Package_Services!H67</f>
        <v>0</v>
      </c>
      <c r="I65" s="494">
        <f>Package_Services!I67</f>
        <v>0</v>
      </c>
      <c r="K65" s="92">
        <f t="shared" si="12"/>
        <v>0</v>
      </c>
      <c r="L65" s="92">
        <f t="shared" si="12"/>
        <v>0</v>
      </c>
      <c r="M65" s="92">
        <f t="shared" si="12"/>
        <v>0</v>
      </c>
      <c r="N65" s="92">
        <f t="shared" si="12"/>
        <v>0</v>
      </c>
      <c r="O65" s="92">
        <f t="shared" si="12"/>
        <v>0</v>
      </c>
      <c r="P65" s="92">
        <f t="shared" si="12"/>
        <v>0</v>
      </c>
      <c r="R65" s="495">
        <f t="shared" si="2"/>
        <v>0</v>
      </c>
      <c r="S65" s="495">
        <f t="shared" si="3"/>
        <v>0</v>
      </c>
      <c r="T65" s="495">
        <f t="shared" si="4"/>
        <v>0</v>
      </c>
      <c r="U65" s="495">
        <f t="shared" si="5"/>
        <v>0</v>
      </c>
      <c r="V65" s="495">
        <f t="shared" si="6"/>
        <v>0</v>
      </c>
      <c r="W65" s="495">
        <f t="shared" si="7"/>
        <v>0</v>
      </c>
      <c r="Y65" s="495">
        <f>IF(Coverage!$G$4="Actual",Coverage!$C68,Coverage!$G68*$R65)</f>
        <v>0</v>
      </c>
      <c r="Z65" s="496">
        <f>ROUNDUP(S65*Coverage!H68,0)</f>
        <v>0</v>
      </c>
      <c r="AA65" s="496">
        <f>ROUNDUP(T65*Coverage!I68,0)</f>
        <v>0</v>
      </c>
      <c r="AB65" s="496">
        <f>ROUNDUP(U65*Coverage!J68,0)</f>
        <v>0</v>
      </c>
      <c r="AC65" s="496">
        <f>ROUNDUP(V65*Coverage!K68,0)</f>
        <v>0</v>
      </c>
      <c r="AD65" s="496">
        <f>ROUNDUP(W65*Coverage!L68,0)</f>
        <v>0</v>
      </c>
    </row>
    <row r="66" spans="1:30">
      <c r="A66" s="1">
        <v>61</v>
      </c>
      <c r="B66" s="494">
        <f>Package_Services!B68</f>
        <v>0</v>
      </c>
      <c r="C66" s="494">
        <f>Package_Services!C68</f>
        <v>0</v>
      </c>
      <c r="D66" s="494">
        <f>Package_Services!D68</f>
        <v>0</v>
      </c>
      <c r="E66" s="494">
        <f>Package_Services!E68</f>
        <v>0</v>
      </c>
      <c r="F66" s="494">
        <f>Package_Services!F68</f>
        <v>0</v>
      </c>
      <c r="G66" s="491">
        <f>Package_Services!G68</f>
        <v>0</v>
      </c>
      <c r="H66" s="494">
        <f>Package_Services!H68</f>
        <v>0</v>
      </c>
      <c r="I66" s="494">
        <f>Package_Services!I68</f>
        <v>0</v>
      </c>
      <c r="K66" s="92">
        <f t="shared" ref="K66:P75" si="13">IF($D66=0,0,VLOOKUP($D66,lookup_demography,K$3,FALSE))</f>
        <v>0</v>
      </c>
      <c r="L66" s="92">
        <f t="shared" si="13"/>
        <v>0</v>
      </c>
      <c r="M66" s="92">
        <f t="shared" si="13"/>
        <v>0</v>
      </c>
      <c r="N66" s="92">
        <f t="shared" si="13"/>
        <v>0</v>
      </c>
      <c r="O66" s="92">
        <f t="shared" si="13"/>
        <v>0</v>
      </c>
      <c r="P66" s="92">
        <f t="shared" si="13"/>
        <v>0</v>
      </c>
      <c r="R66" s="495">
        <f t="shared" si="2"/>
        <v>0</v>
      </c>
      <c r="S66" s="495">
        <f t="shared" si="3"/>
        <v>0</v>
      </c>
      <c r="T66" s="495">
        <f t="shared" si="4"/>
        <v>0</v>
      </c>
      <c r="U66" s="495">
        <f t="shared" si="5"/>
        <v>0</v>
      </c>
      <c r="V66" s="495">
        <f t="shared" si="6"/>
        <v>0</v>
      </c>
      <c r="W66" s="495">
        <f t="shared" si="7"/>
        <v>0</v>
      </c>
      <c r="Y66" s="495">
        <f>IF(Coverage!$G$4="Actual",Coverage!$C69,Coverage!$G69*$R66)</f>
        <v>0</v>
      </c>
      <c r="Z66" s="496">
        <f>ROUNDUP(S66*Coverage!H69,0)</f>
        <v>0</v>
      </c>
      <c r="AA66" s="496">
        <f>ROUNDUP(T66*Coverage!I69,0)</f>
        <v>0</v>
      </c>
      <c r="AB66" s="496">
        <f>ROUNDUP(U66*Coverage!J69,0)</f>
        <v>0</v>
      </c>
      <c r="AC66" s="496">
        <f>ROUNDUP(V66*Coverage!K69,0)</f>
        <v>0</v>
      </c>
      <c r="AD66" s="496">
        <f>ROUNDUP(W66*Coverage!L69,0)</f>
        <v>0</v>
      </c>
    </row>
    <row r="67" spans="1:30">
      <c r="A67" s="1">
        <v>62</v>
      </c>
      <c r="B67" s="494">
        <f>Package_Services!B69</f>
        <v>0</v>
      </c>
      <c r="C67" s="494">
        <f>Package_Services!C69</f>
        <v>0</v>
      </c>
      <c r="D67" s="494">
        <f>Package_Services!D69</f>
        <v>0</v>
      </c>
      <c r="E67" s="494">
        <f>Package_Services!E69</f>
        <v>0</v>
      </c>
      <c r="F67" s="494">
        <f>Package_Services!F69</f>
        <v>0</v>
      </c>
      <c r="G67" s="491">
        <f>Package_Services!G69</f>
        <v>0</v>
      </c>
      <c r="H67" s="494">
        <f>Package_Services!H69</f>
        <v>0</v>
      </c>
      <c r="I67" s="494">
        <f>Package_Services!I69</f>
        <v>0</v>
      </c>
      <c r="K67" s="92">
        <f t="shared" si="13"/>
        <v>0</v>
      </c>
      <c r="L67" s="92">
        <f t="shared" si="13"/>
        <v>0</v>
      </c>
      <c r="M67" s="92">
        <f t="shared" si="13"/>
        <v>0</v>
      </c>
      <c r="N67" s="92">
        <f t="shared" si="13"/>
        <v>0</v>
      </c>
      <c r="O67" s="92">
        <f t="shared" si="13"/>
        <v>0</v>
      </c>
      <c r="P67" s="92">
        <f t="shared" si="13"/>
        <v>0</v>
      </c>
      <c r="R67" s="495">
        <f t="shared" si="2"/>
        <v>0</v>
      </c>
      <c r="S67" s="495">
        <f t="shared" si="3"/>
        <v>0</v>
      </c>
      <c r="T67" s="495">
        <f t="shared" si="4"/>
        <v>0</v>
      </c>
      <c r="U67" s="495">
        <f t="shared" si="5"/>
        <v>0</v>
      </c>
      <c r="V67" s="495">
        <f t="shared" si="6"/>
        <v>0</v>
      </c>
      <c r="W67" s="495">
        <f t="shared" si="7"/>
        <v>0</v>
      </c>
      <c r="Y67" s="495">
        <f>IF(Coverage!$G$4="Actual",Coverage!$C70,Coverage!$G70*$R67)</f>
        <v>0</v>
      </c>
      <c r="Z67" s="496">
        <f>ROUNDUP(S67*Coverage!H70,0)</f>
        <v>0</v>
      </c>
      <c r="AA67" s="496">
        <f>ROUNDUP(T67*Coverage!I70,0)</f>
        <v>0</v>
      </c>
      <c r="AB67" s="496">
        <f>ROUNDUP(U67*Coverage!J70,0)</f>
        <v>0</v>
      </c>
      <c r="AC67" s="496">
        <f>ROUNDUP(V67*Coverage!K70,0)</f>
        <v>0</v>
      </c>
      <c r="AD67" s="496">
        <f>ROUNDUP(W67*Coverage!L70,0)</f>
        <v>0</v>
      </c>
    </row>
    <row r="68" spans="1:30">
      <c r="A68" s="1">
        <v>63</v>
      </c>
      <c r="B68" s="494">
        <f>Package_Services!B70</f>
        <v>0</v>
      </c>
      <c r="C68" s="494">
        <f>Package_Services!C70</f>
        <v>0</v>
      </c>
      <c r="D68" s="494">
        <f>Package_Services!D70</f>
        <v>0</v>
      </c>
      <c r="E68" s="494">
        <f>Package_Services!E70</f>
        <v>0</v>
      </c>
      <c r="F68" s="494">
        <f>Package_Services!F70</f>
        <v>0</v>
      </c>
      <c r="G68" s="491">
        <f>Package_Services!G70</f>
        <v>0</v>
      </c>
      <c r="H68" s="494">
        <f>Package_Services!H70</f>
        <v>0</v>
      </c>
      <c r="I68" s="494">
        <f>Package_Services!I70</f>
        <v>0</v>
      </c>
      <c r="K68" s="92">
        <f t="shared" si="13"/>
        <v>0</v>
      </c>
      <c r="L68" s="92">
        <f t="shared" si="13"/>
        <v>0</v>
      </c>
      <c r="M68" s="92">
        <f t="shared" si="13"/>
        <v>0</v>
      </c>
      <c r="N68" s="92">
        <f t="shared" si="13"/>
        <v>0</v>
      </c>
      <c r="O68" s="92">
        <f t="shared" si="13"/>
        <v>0</v>
      </c>
      <c r="P68" s="92">
        <f t="shared" si="13"/>
        <v>0</v>
      </c>
      <c r="R68" s="495">
        <f t="shared" si="2"/>
        <v>0</v>
      </c>
      <c r="S68" s="495">
        <f t="shared" si="3"/>
        <v>0</v>
      </c>
      <c r="T68" s="495">
        <f t="shared" si="4"/>
        <v>0</v>
      </c>
      <c r="U68" s="495">
        <f t="shared" si="5"/>
        <v>0</v>
      </c>
      <c r="V68" s="495">
        <f t="shared" si="6"/>
        <v>0</v>
      </c>
      <c r="W68" s="495">
        <f t="shared" si="7"/>
        <v>0</v>
      </c>
      <c r="Y68" s="495">
        <f>IF(Coverage!$G$4="Actual",Coverage!$C71,Coverage!$G71*$R68)</f>
        <v>0</v>
      </c>
      <c r="Z68" s="496">
        <f>ROUNDUP(S68*Coverage!H71,0)</f>
        <v>0</v>
      </c>
      <c r="AA68" s="496">
        <f>ROUNDUP(T68*Coverage!I71,0)</f>
        <v>0</v>
      </c>
      <c r="AB68" s="496">
        <f>ROUNDUP(U68*Coverage!J71,0)</f>
        <v>0</v>
      </c>
      <c r="AC68" s="496">
        <f>ROUNDUP(V68*Coverage!K71,0)</f>
        <v>0</v>
      </c>
      <c r="AD68" s="496">
        <f>ROUNDUP(W68*Coverage!L71,0)</f>
        <v>0</v>
      </c>
    </row>
    <row r="69" spans="1:30">
      <c r="A69" s="1">
        <v>64</v>
      </c>
      <c r="B69" s="494">
        <f>Package_Services!B71</f>
        <v>0</v>
      </c>
      <c r="C69" s="494">
        <f>Package_Services!C71</f>
        <v>0</v>
      </c>
      <c r="D69" s="494">
        <f>Package_Services!D71</f>
        <v>0</v>
      </c>
      <c r="E69" s="494">
        <f>Package_Services!E71</f>
        <v>0</v>
      </c>
      <c r="F69" s="494">
        <f>Package_Services!F71</f>
        <v>0</v>
      </c>
      <c r="G69" s="491">
        <f>Package_Services!G71</f>
        <v>0</v>
      </c>
      <c r="H69" s="494">
        <f>Package_Services!H71</f>
        <v>0</v>
      </c>
      <c r="I69" s="494">
        <f>Package_Services!I71</f>
        <v>0</v>
      </c>
      <c r="K69" s="92">
        <f t="shared" si="13"/>
        <v>0</v>
      </c>
      <c r="L69" s="92">
        <f t="shared" si="13"/>
        <v>0</v>
      </c>
      <c r="M69" s="92">
        <f t="shared" si="13"/>
        <v>0</v>
      </c>
      <c r="N69" s="92">
        <f t="shared" si="13"/>
        <v>0</v>
      </c>
      <c r="O69" s="92">
        <f t="shared" si="13"/>
        <v>0</v>
      </c>
      <c r="P69" s="92">
        <f t="shared" si="13"/>
        <v>0</v>
      </c>
      <c r="R69" s="495">
        <f t="shared" si="2"/>
        <v>0</v>
      </c>
      <c r="S69" s="495">
        <f t="shared" si="3"/>
        <v>0</v>
      </c>
      <c r="T69" s="495">
        <f t="shared" si="4"/>
        <v>0</v>
      </c>
      <c r="U69" s="495">
        <f t="shared" si="5"/>
        <v>0</v>
      </c>
      <c r="V69" s="495">
        <f t="shared" si="6"/>
        <v>0</v>
      </c>
      <c r="W69" s="495">
        <f t="shared" si="7"/>
        <v>0</v>
      </c>
      <c r="Y69" s="495">
        <f>IF(Coverage!$G$4="Actual",Coverage!$C72,Coverage!$G72*$R69)</f>
        <v>0</v>
      </c>
      <c r="Z69" s="496">
        <f>ROUNDUP(S69*Coverage!H72,0)</f>
        <v>0</v>
      </c>
      <c r="AA69" s="496">
        <f>ROUNDUP(T69*Coverage!I72,0)</f>
        <v>0</v>
      </c>
      <c r="AB69" s="496">
        <f>ROUNDUP(U69*Coverage!J72,0)</f>
        <v>0</v>
      </c>
      <c r="AC69" s="496">
        <f>ROUNDUP(V69*Coverage!K72,0)</f>
        <v>0</v>
      </c>
      <c r="AD69" s="496">
        <f>ROUNDUP(W69*Coverage!L72,0)</f>
        <v>0</v>
      </c>
    </row>
    <row r="70" spans="1:30">
      <c r="A70" s="1">
        <v>65</v>
      </c>
      <c r="B70" s="494">
        <f>Package_Services!B72</f>
        <v>0</v>
      </c>
      <c r="C70" s="494">
        <f>Package_Services!C72</f>
        <v>0</v>
      </c>
      <c r="D70" s="494">
        <f>Package_Services!D72</f>
        <v>0</v>
      </c>
      <c r="E70" s="494">
        <f>Package_Services!E72</f>
        <v>0</v>
      </c>
      <c r="F70" s="494">
        <f>Package_Services!F72</f>
        <v>0</v>
      </c>
      <c r="G70" s="491">
        <f>Package_Services!G72</f>
        <v>0</v>
      </c>
      <c r="H70" s="494">
        <f>Package_Services!H72</f>
        <v>0</v>
      </c>
      <c r="I70" s="494">
        <f>Package_Services!I72</f>
        <v>0</v>
      </c>
      <c r="K70" s="92">
        <f t="shared" si="13"/>
        <v>0</v>
      </c>
      <c r="L70" s="92">
        <f t="shared" si="13"/>
        <v>0</v>
      </c>
      <c r="M70" s="92">
        <f t="shared" si="13"/>
        <v>0</v>
      </c>
      <c r="N70" s="92">
        <f t="shared" si="13"/>
        <v>0</v>
      </c>
      <c r="O70" s="92">
        <f t="shared" si="13"/>
        <v>0</v>
      </c>
      <c r="P70" s="92">
        <f t="shared" si="13"/>
        <v>0</v>
      </c>
      <c r="R70" s="495">
        <f t="shared" si="2"/>
        <v>0</v>
      </c>
      <c r="S70" s="495">
        <f t="shared" si="3"/>
        <v>0</v>
      </c>
      <c r="T70" s="495">
        <f t="shared" si="4"/>
        <v>0</v>
      </c>
      <c r="U70" s="495">
        <f t="shared" si="5"/>
        <v>0</v>
      </c>
      <c r="V70" s="495">
        <f t="shared" si="6"/>
        <v>0</v>
      </c>
      <c r="W70" s="495">
        <f t="shared" si="7"/>
        <v>0</v>
      </c>
      <c r="Y70" s="495">
        <f>IF(Coverage!$G$4="Actual",Coverage!$C73,Coverage!$G73*$R70)</f>
        <v>0</v>
      </c>
      <c r="Z70" s="496">
        <f>ROUNDUP(S70*Coverage!H73,0)</f>
        <v>0</v>
      </c>
      <c r="AA70" s="496">
        <f>ROUNDUP(T70*Coverage!I73,0)</f>
        <v>0</v>
      </c>
      <c r="AB70" s="496">
        <f>ROUNDUP(U70*Coverage!J73,0)</f>
        <v>0</v>
      </c>
      <c r="AC70" s="496">
        <f>ROUNDUP(V70*Coverage!K73,0)</f>
        <v>0</v>
      </c>
      <c r="AD70" s="496">
        <f>ROUNDUP(W70*Coverage!L73,0)</f>
        <v>0</v>
      </c>
    </row>
    <row r="71" spans="1:30">
      <c r="A71" s="1">
        <v>66</v>
      </c>
      <c r="B71" s="494">
        <f>Package_Services!B73</f>
        <v>0</v>
      </c>
      <c r="C71" s="494">
        <f>Package_Services!C73</f>
        <v>0</v>
      </c>
      <c r="D71" s="494">
        <f>Package_Services!D73</f>
        <v>0</v>
      </c>
      <c r="E71" s="494">
        <f>Package_Services!E73</f>
        <v>0</v>
      </c>
      <c r="F71" s="494">
        <f>Package_Services!F73</f>
        <v>0</v>
      </c>
      <c r="G71" s="491">
        <f>Package_Services!G73</f>
        <v>0</v>
      </c>
      <c r="H71" s="494">
        <f>Package_Services!H73</f>
        <v>0</v>
      </c>
      <c r="I71" s="494">
        <f>Package_Services!I73</f>
        <v>0</v>
      </c>
      <c r="K71" s="92">
        <f t="shared" si="13"/>
        <v>0</v>
      </c>
      <c r="L71" s="92">
        <f t="shared" si="13"/>
        <v>0</v>
      </c>
      <c r="M71" s="92">
        <f t="shared" si="13"/>
        <v>0</v>
      </c>
      <c r="N71" s="92">
        <f t="shared" si="13"/>
        <v>0</v>
      </c>
      <c r="O71" s="92">
        <f t="shared" si="13"/>
        <v>0</v>
      </c>
      <c r="P71" s="92">
        <f t="shared" si="13"/>
        <v>0</v>
      </c>
      <c r="R71" s="495">
        <f t="shared" ref="R71:R105" si="14">K71*$I71</f>
        <v>0</v>
      </c>
      <c r="S71" s="495">
        <f t="shared" ref="S71:S105" si="15">L71*$I71</f>
        <v>0</v>
      </c>
      <c r="T71" s="495">
        <f t="shared" ref="T71:T105" si="16">M71*$I71</f>
        <v>0</v>
      </c>
      <c r="U71" s="495">
        <f t="shared" ref="U71:U105" si="17">N71*$I71</f>
        <v>0</v>
      </c>
      <c r="V71" s="495">
        <f t="shared" ref="V71:V105" si="18">O71*$I71</f>
        <v>0</v>
      </c>
      <c r="W71" s="495">
        <f t="shared" ref="W71:W105" si="19">P71*$I71</f>
        <v>0</v>
      </c>
      <c r="Y71" s="495">
        <f>IF(Coverage!$G$4="Actual",Coverage!$C74,Coverage!$G74*$R71)</f>
        <v>0</v>
      </c>
      <c r="Z71" s="496">
        <f>ROUNDUP(S71*Coverage!H74,0)</f>
        <v>0</v>
      </c>
      <c r="AA71" s="496">
        <f>ROUNDUP(T71*Coverage!I74,0)</f>
        <v>0</v>
      </c>
      <c r="AB71" s="496">
        <f>ROUNDUP(U71*Coverage!J74,0)</f>
        <v>0</v>
      </c>
      <c r="AC71" s="496">
        <f>ROUNDUP(V71*Coverage!K74,0)</f>
        <v>0</v>
      </c>
      <c r="AD71" s="496">
        <f>ROUNDUP(W71*Coverage!L74,0)</f>
        <v>0</v>
      </c>
    </row>
    <row r="72" spans="1:30">
      <c r="A72" s="1">
        <v>67</v>
      </c>
      <c r="B72" s="494">
        <f>Package_Services!B74</f>
        <v>0</v>
      </c>
      <c r="C72" s="494">
        <f>Package_Services!C74</f>
        <v>0</v>
      </c>
      <c r="D72" s="494">
        <f>Package_Services!D74</f>
        <v>0</v>
      </c>
      <c r="E72" s="494">
        <f>Package_Services!E74</f>
        <v>0</v>
      </c>
      <c r="F72" s="494">
        <f>Package_Services!F74</f>
        <v>0</v>
      </c>
      <c r="G72" s="491">
        <f>Package_Services!G74</f>
        <v>0</v>
      </c>
      <c r="H72" s="494">
        <f>Package_Services!H74</f>
        <v>0</v>
      </c>
      <c r="I72" s="494">
        <f>Package_Services!I74</f>
        <v>0</v>
      </c>
      <c r="K72" s="92">
        <f t="shared" si="13"/>
        <v>0</v>
      </c>
      <c r="L72" s="92">
        <f t="shared" si="13"/>
        <v>0</v>
      </c>
      <c r="M72" s="92">
        <f t="shared" si="13"/>
        <v>0</v>
      </c>
      <c r="N72" s="92">
        <f t="shared" si="13"/>
        <v>0</v>
      </c>
      <c r="O72" s="92">
        <f t="shared" si="13"/>
        <v>0</v>
      </c>
      <c r="P72" s="92">
        <f t="shared" si="13"/>
        <v>0</v>
      </c>
      <c r="R72" s="495">
        <f t="shared" si="14"/>
        <v>0</v>
      </c>
      <c r="S72" s="495">
        <f t="shared" si="15"/>
        <v>0</v>
      </c>
      <c r="T72" s="495">
        <f t="shared" si="16"/>
        <v>0</v>
      </c>
      <c r="U72" s="495">
        <f t="shared" si="17"/>
        <v>0</v>
      </c>
      <c r="V72" s="495">
        <f t="shared" si="18"/>
        <v>0</v>
      </c>
      <c r="W72" s="495">
        <f t="shared" si="19"/>
        <v>0</v>
      </c>
      <c r="Y72" s="495">
        <f>IF(Coverage!$G$4="Actual",Coverage!$C75,Coverage!$G75*$R72)</f>
        <v>0</v>
      </c>
      <c r="Z72" s="496">
        <f>ROUNDUP(S72*Coverage!H75,0)</f>
        <v>0</v>
      </c>
      <c r="AA72" s="496">
        <f>ROUNDUP(T72*Coverage!I75,0)</f>
        <v>0</v>
      </c>
      <c r="AB72" s="496">
        <f>ROUNDUP(U72*Coverage!J75,0)</f>
        <v>0</v>
      </c>
      <c r="AC72" s="496">
        <f>ROUNDUP(V72*Coverage!K75,0)</f>
        <v>0</v>
      </c>
      <c r="AD72" s="496">
        <f>ROUNDUP(W72*Coverage!L75,0)</f>
        <v>0</v>
      </c>
    </row>
    <row r="73" spans="1:30">
      <c r="A73" s="1">
        <v>68</v>
      </c>
      <c r="B73" s="494">
        <f>Package_Services!B75</f>
        <v>0</v>
      </c>
      <c r="C73" s="494">
        <f>Package_Services!C75</f>
        <v>0</v>
      </c>
      <c r="D73" s="494">
        <f>Package_Services!D75</f>
        <v>0</v>
      </c>
      <c r="E73" s="494">
        <f>Package_Services!E75</f>
        <v>0</v>
      </c>
      <c r="F73" s="494">
        <f>Package_Services!F75</f>
        <v>0</v>
      </c>
      <c r="G73" s="491">
        <f>Package_Services!G75</f>
        <v>0</v>
      </c>
      <c r="H73" s="494">
        <f>Package_Services!H75</f>
        <v>0</v>
      </c>
      <c r="I73" s="494">
        <f>Package_Services!I75</f>
        <v>0</v>
      </c>
      <c r="K73" s="92">
        <f t="shared" si="13"/>
        <v>0</v>
      </c>
      <c r="L73" s="92">
        <f t="shared" si="13"/>
        <v>0</v>
      </c>
      <c r="M73" s="92">
        <f t="shared" si="13"/>
        <v>0</v>
      </c>
      <c r="N73" s="92">
        <f t="shared" si="13"/>
        <v>0</v>
      </c>
      <c r="O73" s="92">
        <f t="shared" si="13"/>
        <v>0</v>
      </c>
      <c r="P73" s="92">
        <f t="shared" si="13"/>
        <v>0</v>
      </c>
      <c r="R73" s="495">
        <f t="shared" si="14"/>
        <v>0</v>
      </c>
      <c r="S73" s="495">
        <f t="shared" si="15"/>
        <v>0</v>
      </c>
      <c r="T73" s="495">
        <f t="shared" si="16"/>
        <v>0</v>
      </c>
      <c r="U73" s="495">
        <f t="shared" si="17"/>
        <v>0</v>
      </c>
      <c r="V73" s="495">
        <f t="shared" si="18"/>
        <v>0</v>
      </c>
      <c r="W73" s="495">
        <f t="shared" si="19"/>
        <v>0</v>
      </c>
      <c r="Y73" s="495">
        <f>IF(Coverage!$G$4="Actual",Coverage!$C76,Coverage!$G76*$R73)</f>
        <v>0</v>
      </c>
      <c r="Z73" s="496">
        <f>ROUNDUP(S73*Coverage!H76,0)</f>
        <v>0</v>
      </c>
      <c r="AA73" s="496">
        <f>ROUNDUP(T73*Coverage!I76,0)</f>
        <v>0</v>
      </c>
      <c r="AB73" s="496">
        <f>ROUNDUP(U73*Coverage!J76,0)</f>
        <v>0</v>
      </c>
      <c r="AC73" s="496">
        <f>ROUNDUP(V73*Coverage!K76,0)</f>
        <v>0</v>
      </c>
      <c r="AD73" s="496">
        <f>ROUNDUP(W73*Coverage!L76,0)</f>
        <v>0</v>
      </c>
    </row>
    <row r="74" spans="1:30">
      <c r="A74" s="1">
        <v>69</v>
      </c>
      <c r="B74" s="494">
        <f>Package_Services!B76</f>
        <v>0</v>
      </c>
      <c r="C74" s="494">
        <f>Package_Services!C76</f>
        <v>0</v>
      </c>
      <c r="D74" s="494">
        <f>Package_Services!D76</f>
        <v>0</v>
      </c>
      <c r="E74" s="494">
        <f>Package_Services!E76</f>
        <v>0</v>
      </c>
      <c r="F74" s="494">
        <f>Package_Services!F76</f>
        <v>0</v>
      </c>
      <c r="G74" s="491">
        <f>Package_Services!G76</f>
        <v>0</v>
      </c>
      <c r="H74" s="494">
        <f>Package_Services!H76</f>
        <v>0</v>
      </c>
      <c r="I74" s="494">
        <f>Package_Services!I76</f>
        <v>0</v>
      </c>
      <c r="K74" s="92">
        <f t="shared" si="13"/>
        <v>0</v>
      </c>
      <c r="L74" s="92">
        <f t="shared" si="13"/>
        <v>0</v>
      </c>
      <c r="M74" s="92">
        <f t="shared" si="13"/>
        <v>0</v>
      </c>
      <c r="N74" s="92">
        <f t="shared" si="13"/>
        <v>0</v>
      </c>
      <c r="O74" s="92">
        <f t="shared" si="13"/>
        <v>0</v>
      </c>
      <c r="P74" s="92">
        <f t="shared" si="13"/>
        <v>0</v>
      </c>
      <c r="R74" s="495">
        <f t="shared" si="14"/>
        <v>0</v>
      </c>
      <c r="S74" s="495">
        <f t="shared" si="15"/>
        <v>0</v>
      </c>
      <c r="T74" s="495">
        <f t="shared" si="16"/>
        <v>0</v>
      </c>
      <c r="U74" s="495">
        <f t="shared" si="17"/>
        <v>0</v>
      </c>
      <c r="V74" s="495">
        <f t="shared" si="18"/>
        <v>0</v>
      </c>
      <c r="W74" s="495">
        <f t="shared" si="19"/>
        <v>0</v>
      </c>
      <c r="Y74" s="495">
        <f>IF(Coverage!$G$4="Actual",Coverage!$C77,Coverage!$G77*$R74)</f>
        <v>0</v>
      </c>
      <c r="Z74" s="496">
        <f>ROUNDUP(S74*Coverage!H77,0)</f>
        <v>0</v>
      </c>
      <c r="AA74" s="496">
        <f>ROUNDUP(T74*Coverage!I77,0)</f>
        <v>0</v>
      </c>
      <c r="AB74" s="496">
        <f>ROUNDUP(U74*Coverage!J77,0)</f>
        <v>0</v>
      </c>
      <c r="AC74" s="496">
        <f>ROUNDUP(V74*Coverage!K77,0)</f>
        <v>0</v>
      </c>
      <c r="AD74" s="496">
        <f>ROUNDUP(W74*Coverage!L77,0)</f>
        <v>0</v>
      </c>
    </row>
    <row r="75" spans="1:30">
      <c r="A75" s="1">
        <v>70</v>
      </c>
      <c r="B75" s="494">
        <f>Package_Services!B77</f>
        <v>0</v>
      </c>
      <c r="C75" s="494">
        <f>Package_Services!C77</f>
        <v>0</v>
      </c>
      <c r="D75" s="494">
        <f>Package_Services!D77</f>
        <v>0</v>
      </c>
      <c r="E75" s="494">
        <f>Package_Services!E77</f>
        <v>0</v>
      </c>
      <c r="F75" s="494">
        <f>Package_Services!F77</f>
        <v>0</v>
      </c>
      <c r="G75" s="491">
        <f>Package_Services!G77</f>
        <v>0</v>
      </c>
      <c r="H75" s="494">
        <f>Package_Services!H77</f>
        <v>0</v>
      </c>
      <c r="I75" s="494">
        <f>Package_Services!I77</f>
        <v>0</v>
      </c>
      <c r="K75" s="92">
        <f t="shared" si="13"/>
        <v>0</v>
      </c>
      <c r="L75" s="92">
        <f t="shared" si="13"/>
        <v>0</v>
      </c>
      <c r="M75" s="92">
        <f t="shared" si="13"/>
        <v>0</v>
      </c>
      <c r="N75" s="92">
        <f t="shared" si="13"/>
        <v>0</v>
      </c>
      <c r="O75" s="92">
        <f t="shared" si="13"/>
        <v>0</v>
      </c>
      <c r="P75" s="92">
        <f t="shared" si="13"/>
        <v>0</v>
      </c>
      <c r="R75" s="495">
        <f t="shared" si="14"/>
        <v>0</v>
      </c>
      <c r="S75" s="495">
        <f t="shared" si="15"/>
        <v>0</v>
      </c>
      <c r="T75" s="495">
        <f t="shared" si="16"/>
        <v>0</v>
      </c>
      <c r="U75" s="495">
        <f t="shared" si="17"/>
        <v>0</v>
      </c>
      <c r="V75" s="495">
        <f t="shared" si="18"/>
        <v>0</v>
      </c>
      <c r="W75" s="495">
        <f t="shared" si="19"/>
        <v>0</v>
      </c>
      <c r="Y75" s="495">
        <f>IF(Coverage!$G$4="Actual",Coverage!$C78,Coverage!$G78*$R75)</f>
        <v>0</v>
      </c>
      <c r="Z75" s="496">
        <f>ROUNDUP(S75*Coverage!H78,0)</f>
        <v>0</v>
      </c>
      <c r="AA75" s="496">
        <f>ROUNDUP(T75*Coverage!I78,0)</f>
        <v>0</v>
      </c>
      <c r="AB75" s="496">
        <f>ROUNDUP(U75*Coverage!J78,0)</f>
        <v>0</v>
      </c>
      <c r="AC75" s="496">
        <f>ROUNDUP(V75*Coverage!K78,0)</f>
        <v>0</v>
      </c>
      <c r="AD75" s="496">
        <f>ROUNDUP(W75*Coverage!L78,0)</f>
        <v>0</v>
      </c>
    </row>
    <row r="76" spans="1:30">
      <c r="A76" s="1">
        <v>71</v>
      </c>
      <c r="B76" s="494">
        <f>Package_Services!B78</f>
        <v>0</v>
      </c>
      <c r="C76" s="494">
        <f>Package_Services!C78</f>
        <v>0</v>
      </c>
      <c r="D76" s="494">
        <f>Package_Services!D78</f>
        <v>0</v>
      </c>
      <c r="E76" s="494">
        <f>Package_Services!E78</f>
        <v>0</v>
      </c>
      <c r="F76" s="494">
        <f>Package_Services!F78</f>
        <v>0</v>
      </c>
      <c r="G76" s="491">
        <f>Package_Services!G78</f>
        <v>0</v>
      </c>
      <c r="H76" s="494">
        <f>Package_Services!H78</f>
        <v>0</v>
      </c>
      <c r="I76" s="494">
        <f>Package_Services!I78</f>
        <v>0</v>
      </c>
      <c r="K76" s="92">
        <f t="shared" ref="K76:P85" si="20">IF($D76=0,0,VLOOKUP($D76,lookup_demography,K$3,FALSE))</f>
        <v>0</v>
      </c>
      <c r="L76" s="92">
        <f t="shared" si="20"/>
        <v>0</v>
      </c>
      <c r="M76" s="92">
        <f t="shared" si="20"/>
        <v>0</v>
      </c>
      <c r="N76" s="92">
        <f t="shared" si="20"/>
        <v>0</v>
      </c>
      <c r="O76" s="92">
        <f t="shared" si="20"/>
        <v>0</v>
      </c>
      <c r="P76" s="92">
        <f t="shared" si="20"/>
        <v>0</v>
      </c>
      <c r="R76" s="495">
        <f t="shared" si="14"/>
        <v>0</v>
      </c>
      <c r="S76" s="495">
        <f t="shared" si="15"/>
        <v>0</v>
      </c>
      <c r="T76" s="495">
        <f t="shared" si="16"/>
        <v>0</v>
      </c>
      <c r="U76" s="495">
        <f t="shared" si="17"/>
        <v>0</v>
      </c>
      <c r="V76" s="495">
        <f t="shared" si="18"/>
        <v>0</v>
      </c>
      <c r="W76" s="495">
        <f t="shared" si="19"/>
        <v>0</v>
      </c>
      <c r="Y76" s="495">
        <f>IF(Coverage!$G$4="Actual",Coverage!$C79,Coverage!$G79*$R76)</f>
        <v>0</v>
      </c>
      <c r="Z76" s="496">
        <f>ROUNDUP(S76*Coverage!H79,0)</f>
        <v>0</v>
      </c>
      <c r="AA76" s="496">
        <f>ROUNDUP(T76*Coverage!I79,0)</f>
        <v>0</v>
      </c>
      <c r="AB76" s="496">
        <f>ROUNDUP(U76*Coverage!J79,0)</f>
        <v>0</v>
      </c>
      <c r="AC76" s="496">
        <f>ROUNDUP(V76*Coverage!K79,0)</f>
        <v>0</v>
      </c>
      <c r="AD76" s="496">
        <f>ROUNDUP(W76*Coverage!L79,0)</f>
        <v>0</v>
      </c>
    </row>
    <row r="77" spans="1:30">
      <c r="A77" s="1">
        <v>72</v>
      </c>
      <c r="B77" s="494">
        <f>Package_Services!B79</f>
        <v>0</v>
      </c>
      <c r="C77" s="494">
        <f>Package_Services!C79</f>
        <v>0</v>
      </c>
      <c r="D77" s="494">
        <f>Package_Services!D79</f>
        <v>0</v>
      </c>
      <c r="E77" s="494">
        <f>Package_Services!E79</f>
        <v>0</v>
      </c>
      <c r="F77" s="494">
        <f>Package_Services!F79</f>
        <v>0</v>
      </c>
      <c r="G77" s="491">
        <f>Package_Services!G79</f>
        <v>0</v>
      </c>
      <c r="H77" s="494">
        <f>Package_Services!H79</f>
        <v>0</v>
      </c>
      <c r="I77" s="494">
        <f>Package_Services!I79</f>
        <v>0</v>
      </c>
      <c r="K77" s="92">
        <f t="shared" si="20"/>
        <v>0</v>
      </c>
      <c r="L77" s="92">
        <f t="shared" si="20"/>
        <v>0</v>
      </c>
      <c r="M77" s="92">
        <f t="shared" si="20"/>
        <v>0</v>
      </c>
      <c r="N77" s="92">
        <f t="shared" si="20"/>
        <v>0</v>
      </c>
      <c r="O77" s="92">
        <f t="shared" si="20"/>
        <v>0</v>
      </c>
      <c r="P77" s="92">
        <f t="shared" si="20"/>
        <v>0</v>
      </c>
      <c r="R77" s="495">
        <f t="shared" si="14"/>
        <v>0</v>
      </c>
      <c r="S77" s="495">
        <f t="shared" si="15"/>
        <v>0</v>
      </c>
      <c r="T77" s="495">
        <f t="shared" si="16"/>
        <v>0</v>
      </c>
      <c r="U77" s="495">
        <f t="shared" si="17"/>
        <v>0</v>
      </c>
      <c r="V77" s="495">
        <f t="shared" si="18"/>
        <v>0</v>
      </c>
      <c r="W77" s="495">
        <f t="shared" si="19"/>
        <v>0</v>
      </c>
      <c r="Y77" s="495">
        <f>IF(Coverage!$G$4="Actual",Coverage!$C80,Coverage!$G80*$R77)</f>
        <v>0</v>
      </c>
      <c r="Z77" s="496">
        <f>ROUNDUP(S77*Coverage!H80,0)</f>
        <v>0</v>
      </c>
      <c r="AA77" s="496">
        <f>ROUNDUP(T77*Coverage!I80,0)</f>
        <v>0</v>
      </c>
      <c r="AB77" s="496">
        <f>ROUNDUP(U77*Coverage!J80,0)</f>
        <v>0</v>
      </c>
      <c r="AC77" s="496">
        <f>ROUNDUP(V77*Coverage!K80,0)</f>
        <v>0</v>
      </c>
      <c r="AD77" s="496">
        <f>ROUNDUP(W77*Coverage!L80,0)</f>
        <v>0</v>
      </c>
    </row>
    <row r="78" spans="1:30">
      <c r="A78" s="1">
        <v>73</v>
      </c>
      <c r="B78" s="494">
        <f>Package_Services!B80</f>
        <v>0</v>
      </c>
      <c r="C78" s="494">
        <f>Package_Services!C80</f>
        <v>0</v>
      </c>
      <c r="D78" s="494">
        <f>Package_Services!D80</f>
        <v>0</v>
      </c>
      <c r="E78" s="494">
        <f>Package_Services!E80</f>
        <v>0</v>
      </c>
      <c r="F78" s="494">
        <f>Package_Services!F80</f>
        <v>0</v>
      </c>
      <c r="G78" s="491">
        <f>Package_Services!G80</f>
        <v>0</v>
      </c>
      <c r="H78" s="494">
        <f>Package_Services!H80</f>
        <v>0</v>
      </c>
      <c r="I78" s="494">
        <f>Package_Services!I80</f>
        <v>0</v>
      </c>
      <c r="K78" s="92">
        <f t="shared" si="20"/>
        <v>0</v>
      </c>
      <c r="L78" s="92">
        <f t="shared" si="20"/>
        <v>0</v>
      </c>
      <c r="M78" s="92">
        <f t="shared" si="20"/>
        <v>0</v>
      </c>
      <c r="N78" s="92">
        <f t="shared" si="20"/>
        <v>0</v>
      </c>
      <c r="O78" s="92">
        <f t="shared" si="20"/>
        <v>0</v>
      </c>
      <c r="P78" s="92">
        <f t="shared" si="20"/>
        <v>0</v>
      </c>
      <c r="R78" s="495">
        <f t="shared" si="14"/>
        <v>0</v>
      </c>
      <c r="S78" s="495">
        <f t="shared" si="15"/>
        <v>0</v>
      </c>
      <c r="T78" s="495">
        <f t="shared" si="16"/>
        <v>0</v>
      </c>
      <c r="U78" s="495">
        <f t="shared" si="17"/>
        <v>0</v>
      </c>
      <c r="V78" s="495">
        <f t="shared" si="18"/>
        <v>0</v>
      </c>
      <c r="W78" s="495">
        <f t="shared" si="19"/>
        <v>0</v>
      </c>
      <c r="Y78" s="495">
        <f>IF(Coverage!$G$4="Actual",Coverage!$C81,Coverage!$G81*$R78)</f>
        <v>0</v>
      </c>
      <c r="Z78" s="496">
        <f>ROUNDUP(S78*Coverage!H81,0)</f>
        <v>0</v>
      </c>
      <c r="AA78" s="496">
        <f>ROUNDUP(T78*Coverage!I81,0)</f>
        <v>0</v>
      </c>
      <c r="AB78" s="496">
        <f>ROUNDUP(U78*Coverage!J81,0)</f>
        <v>0</v>
      </c>
      <c r="AC78" s="496">
        <f>ROUNDUP(V78*Coverage!K81,0)</f>
        <v>0</v>
      </c>
      <c r="AD78" s="496">
        <f>ROUNDUP(W78*Coverage!L81,0)</f>
        <v>0</v>
      </c>
    </row>
    <row r="79" spans="1:30">
      <c r="A79" s="1">
        <v>74</v>
      </c>
      <c r="B79" s="494">
        <f>Package_Services!B81</f>
        <v>0</v>
      </c>
      <c r="C79" s="494">
        <f>Package_Services!C81</f>
        <v>0</v>
      </c>
      <c r="D79" s="494">
        <f>Package_Services!D81</f>
        <v>0</v>
      </c>
      <c r="E79" s="494">
        <f>Package_Services!E81</f>
        <v>0</v>
      </c>
      <c r="F79" s="494">
        <f>Package_Services!F81</f>
        <v>0</v>
      </c>
      <c r="G79" s="491">
        <f>Package_Services!G81</f>
        <v>0</v>
      </c>
      <c r="H79" s="494">
        <f>Package_Services!H81</f>
        <v>0</v>
      </c>
      <c r="I79" s="494">
        <f>Package_Services!I81</f>
        <v>0</v>
      </c>
      <c r="K79" s="92">
        <f t="shared" si="20"/>
        <v>0</v>
      </c>
      <c r="L79" s="92">
        <f t="shared" si="20"/>
        <v>0</v>
      </c>
      <c r="M79" s="92">
        <f t="shared" si="20"/>
        <v>0</v>
      </c>
      <c r="N79" s="92">
        <f t="shared" si="20"/>
        <v>0</v>
      </c>
      <c r="O79" s="92">
        <f t="shared" si="20"/>
        <v>0</v>
      </c>
      <c r="P79" s="92">
        <f t="shared" si="20"/>
        <v>0</v>
      </c>
      <c r="R79" s="495">
        <f t="shared" si="14"/>
        <v>0</v>
      </c>
      <c r="S79" s="495">
        <f t="shared" si="15"/>
        <v>0</v>
      </c>
      <c r="T79" s="495">
        <f t="shared" si="16"/>
        <v>0</v>
      </c>
      <c r="U79" s="495">
        <f t="shared" si="17"/>
        <v>0</v>
      </c>
      <c r="V79" s="495">
        <f t="shared" si="18"/>
        <v>0</v>
      </c>
      <c r="W79" s="495">
        <f t="shared" si="19"/>
        <v>0</v>
      </c>
      <c r="Y79" s="495">
        <f>IF(Coverage!$G$4="Actual",Coverage!$C82,Coverage!$G82*$R79)</f>
        <v>0</v>
      </c>
      <c r="Z79" s="496">
        <f>ROUNDUP(S79*Coverage!H82,0)</f>
        <v>0</v>
      </c>
      <c r="AA79" s="496">
        <f>ROUNDUP(T79*Coverage!I82,0)</f>
        <v>0</v>
      </c>
      <c r="AB79" s="496">
        <f>ROUNDUP(U79*Coverage!J82,0)</f>
        <v>0</v>
      </c>
      <c r="AC79" s="496">
        <f>ROUNDUP(V79*Coverage!K82,0)</f>
        <v>0</v>
      </c>
      <c r="AD79" s="496">
        <f>ROUNDUP(W79*Coverage!L82,0)</f>
        <v>0</v>
      </c>
    </row>
    <row r="80" spans="1:30">
      <c r="A80" s="1">
        <v>75</v>
      </c>
      <c r="B80" s="494">
        <f>Package_Services!B82</f>
        <v>0</v>
      </c>
      <c r="C80" s="494">
        <f>Package_Services!C82</f>
        <v>0</v>
      </c>
      <c r="D80" s="494">
        <f>Package_Services!D82</f>
        <v>0</v>
      </c>
      <c r="E80" s="494">
        <f>Package_Services!E82</f>
        <v>0</v>
      </c>
      <c r="F80" s="494">
        <f>Package_Services!F82</f>
        <v>0</v>
      </c>
      <c r="G80" s="491">
        <f>Package_Services!G82</f>
        <v>0</v>
      </c>
      <c r="H80" s="494">
        <f>Package_Services!H82</f>
        <v>0</v>
      </c>
      <c r="I80" s="494">
        <f>Package_Services!I82</f>
        <v>0</v>
      </c>
      <c r="K80" s="92">
        <f t="shared" si="20"/>
        <v>0</v>
      </c>
      <c r="L80" s="92">
        <f t="shared" si="20"/>
        <v>0</v>
      </c>
      <c r="M80" s="92">
        <f t="shared" si="20"/>
        <v>0</v>
      </c>
      <c r="N80" s="92">
        <f t="shared" si="20"/>
        <v>0</v>
      </c>
      <c r="O80" s="92">
        <f t="shared" si="20"/>
        <v>0</v>
      </c>
      <c r="P80" s="92">
        <f t="shared" si="20"/>
        <v>0</v>
      </c>
      <c r="R80" s="495">
        <f t="shared" si="14"/>
        <v>0</v>
      </c>
      <c r="S80" s="495">
        <f t="shared" si="15"/>
        <v>0</v>
      </c>
      <c r="T80" s="495">
        <f t="shared" si="16"/>
        <v>0</v>
      </c>
      <c r="U80" s="495">
        <f t="shared" si="17"/>
        <v>0</v>
      </c>
      <c r="V80" s="495">
        <f t="shared" si="18"/>
        <v>0</v>
      </c>
      <c r="W80" s="495">
        <f t="shared" si="19"/>
        <v>0</v>
      </c>
      <c r="Y80" s="495">
        <f>IF(Coverage!$G$4="Actual",Coverage!$C83,Coverage!$G83*$R80)</f>
        <v>0</v>
      </c>
      <c r="Z80" s="496">
        <f>ROUNDUP(S80*Coverage!H83,0)</f>
        <v>0</v>
      </c>
      <c r="AA80" s="496">
        <f>ROUNDUP(T80*Coverage!I83,0)</f>
        <v>0</v>
      </c>
      <c r="AB80" s="496">
        <f>ROUNDUP(U80*Coverage!J83,0)</f>
        <v>0</v>
      </c>
      <c r="AC80" s="496">
        <f>ROUNDUP(V80*Coverage!K83,0)</f>
        <v>0</v>
      </c>
      <c r="AD80" s="496">
        <f>ROUNDUP(W80*Coverage!L83,0)</f>
        <v>0</v>
      </c>
    </row>
    <row r="81" spans="1:30">
      <c r="A81" s="1">
        <v>76</v>
      </c>
      <c r="B81" s="494">
        <f>Package_Services!B83</f>
        <v>0</v>
      </c>
      <c r="C81" s="494">
        <f>Package_Services!C83</f>
        <v>0</v>
      </c>
      <c r="D81" s="494">
        <f>Package_Services!D83</f>
        <v>0</v>
      </c>
      <c r="E81" s="494">
        <f>Package_Services!E83</f>
        <v>0</v>
      </c>
      <c r="F81" s="494">
        <f>Package_Services!F83</f>
        <v>0</v>
      </c>
      <c r="G81" s="491">
        <f>Package_Services!G83</f>
        <v>0</v>
      </c>
      <c r="H81" s="494">
        <f>Package_Services!H83</f>
        <v>0</v>
      </c>
      <c r="I81" s="494">
        <f>Package_Services!I83</f>
        <v>0</v>
      </c>
      <c r="K81" s="92">
        <f t="shared" si="20"/>
        <v>0</v>
      </c>
      <c r="L81" s="92">
        <f t="shared" si="20"/>
        <v>0</v>
      </c>
      <c r="M81" s="92">
        <f t="shared" si="20"/>
        <v>0</v>
      </c>
      <c r="N81" s="92">
        <f t="shared" si="20"/>
        <v>0</v>
      </c>
      <c r="O81" s="92">
        <f t="shared" si="20"/>
        <v>0</v>
      </c>
      <c r="P81" s="92">
        <f t="shared" si="20"/>
        <v>0</v>
      </c>
      <c r="R81" s="495">
        <f t="shared" si="14"/>
        <v>0</v>
      </c>
      <c r="S81" s="495">
        <f t="shared" si="15"/>
        <v>0</v>
      </c>
      <c r="T81" s="495">
        <f t="shared" si="16"/>
        <v>0</v>
      </c>
      <c r="U81" s="495">
        <f t="shared" si="17"/>
        <v>0</v>
      </c>
      <c r="V81" s="495">
        <f t="shared" si="18"/>
        <v>0</v>
      </c>
      <c r="W81" s="495">
        <f t="shared" si="19"/>
        <v>0</v>
      </c>
      <c r="Y81" s="495">
        <f>IF(Coverage!$G$4="Actual",Coverage!$C84,Coverage!$G84*$R81)</f>
        <v>0</v>
      </c>
      <c r="Z81" s="496">
        <f>ROUNDUP(S81*Coverage!H84,0)</f>
        <v>0</v>
      </c>
      <c r="AA81" s="496">
        <f>ROUNDUP(T81*Coverage!I84,0)</f>
        <v>0</v>
      </c>
      <c r="AB81" s="496">
        <f>ROUNDUP(U81*Coverage!J84,0)</f>
        <v>0</v>
      </c>
      <c r="AC81" s="496">
        <f>ROUNDUP(V81*Coverage!K84,0)</f>
        <v>0</v>
      </c>
      <c r="AD81" s="496">
        <f>ROUNDUP(W81*Coverage!L84,0)</f>
        <v>0</v>
      </c>
    </row>
    <row r="82" spans="1:30">
      <c r="A82" s="1">
        <v>77</v>
      </c>
      <c r="B82" s="494">
        <f>Package_Services!B84</f>
        <v>0</v>
      </c>
      <c r="C82" s="494">
        <f>Package_Services!C84</f>
        <v>0</v>
      </c>
      <c r="D82" s="494">
        <f>Package_Services!D84</f>
        <v>0</v>
      </c>
      <c r="E82" s="494">
        <f>Package_Services!E84</f>
        <v>0</v>
      </c>
      <c r="F82" s="494">
        <f>Package_Services!F84</f>
        <v>0</v>
      </c>
      <c r="G82" s="491">
        <f>Package_Services!G84</f>
        <v>0</v>
      </c>
      <c r="H82" s="494">
        <f>Package_Services!H84</f>
        <v>0</v>
      </c>
      <c r="I82" s="494">
        <f>Package_Services!I84</f>
        <v>0</v>
      </c>
      <c r="K82" s="92">
        <f t="shared" si="20"/>
        <v>0</v>
      </c>
      <c r="L82" s="92">
        <f t="shared" si="20"/>
        <v>0</v>
      </c>
      <c r="M82" s="92">
        <f t="shared" si="20"/>
        <v>0</v>
      </c>
      <c r="N82" s="92">
        <f t="shared" si="20"/>
        <v>0</v>
      </c>
      <c r="O82" s="92">
        <f t="shared" si="20"/>
        <v>0</v>
      </c>
      <c r="P82" s="92">
        <f t="shared" si="20"/>
        <v>0</v>
      </c>
      <c r="R82" s="495">
        <f t="shared" si="14"/>
        <v>0</v>
      </c>
      <c r="S82" s="495">
        <f t="shared" si="15"/>
        <v>0</v>
      </c>
      <c r="T82" s="495">
        <f t="shared" si="16"/>
        <v>0</v>
      </c>
      <c r="U82" s="495">
        <f t="shared" si="17"/>
        <v>0</v>
      </c>
      <c r="V82" s="495">
        <f t="shared" si="18"/>
        <v>0</v>
      </c>
      <c r="W82" s="495">
        <f t="shared" si="19"/>
        <v>0</v>
      </c>
      <c r="Y82" s="495">
        <f>IF(Coverage!$G$4="Actual",Coverage!$C85,Coverage!$G85*$R82)</f>
        <v>0</v>
      </c>
      <c r="Z82" s="496">
        <f>ROUNDUP(S82*Coverage!H85,0)</f>
        <v>0</v>
      </c>
      <c r="AA82" s="496">
        <f>ROUNDUP(T82*Coverage!I85,0)</f>
        <v>0</v>
      </c>
      <c r="AB82" s="496">
        <f>ROUNDUP(U82*Coverage!J85,0)</f>
        <v>0</v>
      </c>
      <c r="AC82" s="496">
        <f>ROUNDUP(V82*Coverage!K85,0)</f>
        <v>0</v>
      </c>
      <c r="AD82" s="496">
        <f>ROUNDUP(W82*Coverage!L85,0)</f>
        <v>0</v>
      </c>
    </row>
    <row r="83" spans="1:30">
      <c r="A83" s="1">
        <v>78</v>
      </c>
      <c r="B83" s="494">
        <f>Package_Services!B85</f>
        <v>0</v>
      </c>
      <c r="C83" s="494">
        <f>Package_Services!C85</f>
        <v>0</v>
      </c>
      <c r="D83" s="494">
        <f>Package_Services!D85</f>
        <v>0</v>
      </c>
      <c r="E83" s="494">
        <f>Package_Services!E85</f>
        <v>0</v>
      </c>
      <c r="F83" s="494">
        <f>Package_Services!F85</f>
        <v>0</v>
      </c>
      <c r="G83" s="491">
        <f>Package_Services!G85</f>
        <v>0</v>
      </c>
      <c r="H83" s="494">
        <f>Package_Services!H85</f>
        <v>0</v>
      </c>
      <c r="I83" s="494">
        <f>Package_Services!I85</f>
        <v>0</v>
      </c>
      <c r="K83" s="92">
        <f t="shared" si="20"/>
        <v>0</v>
      </c>
      <c r="L83" s="92">
        <f t="shared" si="20"/>
        <v>0</v>
      </c>
      <c r="M83" s="92">
        <f t="shared" si="20"/>
        <v>0</v>
      </c>
      <c r="N83" s="92">
        <f t="shared" si="20"/>
        <v>0</v>
      </c>
      <c r="O83" s="92">
        <f t="shared" si="20"/>
        <v>0</v>
      </c>
      <c r="P83" s="92">
        <f t="shared" si="20"/>
        <v>0</v>
      </c>
      <c r="R83" s="495">
        <f t="shared" si="14"/>
        <v>0</v>
      </c>
      <c r="S83" s="495">
        <f t="shared" si="15"/>
        <v>0</v>
      </c>
      <c r="T83" s="495">
        <f t="shared" si="16"/>
        <v>0</v>
      </c>
      <c r="U83" s="495">
        <f t="shared" si="17"/>
        <v>0</v>
      </c>
      <c r="V83" s="495">
        <f t="shared" si="18"/>
        <v>0</v>
      </c>
      <c r="W83" s="495">
        <f t="shared" si="19"/>
        <v>0</v>
      </c>
      <c r="Y83" s="495">
        <f>IF(Coverage!$G$4="Actual",Coverage!$C86,Coverage!$G86*$R83)</f>
        <v>0</v>
      </c>
      <c r="Z83" s="496">
        <f>ROUNDUP(S83*Coverage!H86,0)</f>
        <v>0</v>
      </c>
      <c r="AA83" s="496">
        <f>ROUNDUP(T83*Coverage!I86,0)</f>
        <v>0</v>
      </c>
      <c r="AB83" s="496">
        <f>ROUNDUP(U83*Coverage!J86,0)</f>
        <v>0</v>
      </c>
      <c r="AC83" s="496">
        <f>ROUNDUP(V83*Coverage!K86,0)</f>
        <v>0</v>
      </c>
      <c r="AD83" s="496">
        <f>ROUNDUP(W83*Coverage!L86,0)</f>
        <v>0</v>
      </c>
    </row>
    <row r="84" spans="1:30">
      <c r="A84" s="1">
        <v>79</v>
      </c>
      <c r="B84" s="494">
        <f>Package_Services!B86</f>
        <v>0</v>
      </c>
      <c r="C84" s="494">
        <f>Package_Services!C86</f>
        <v>0</v>
      </c>
      <c r="D84" s="494">
        <f>Package_Services!D86</f>
        <v>0</v>
      </c>
      <c r="E84" s="494">
        <f>Package_Services!E86</f>
        <v>0</v>
      </c>
      <c r="F84" s="494">
        <f>Package_Services!F86</f>
        <v>0</v>
      </c>
      <c r="G84" s="491">
        <f>Package_Services!G86</f>
        <v>0</v>
      </c>
      <c r="H84" s="494">
        <f>Package_Services!H86</f>
        <v>0</v>
      </c>
      <c r="I84" s="494">
        <f>Package_Services!I86</f>
        <v>0</v>
      </c>
      <c r="K84" s="92">
        <f t="shared" si="20"/>
        <v>0</v>
      </c>
      <c r="L84" s="92">
        <f t="shared" si="20"/>
        <v>0</v>
      </c>
      <c r="M84" s="92">
        <f t="shared" si="20"/>
        <v>0</v>
      </c>
      <c r="N84" s="92">
        <f t="shared" si="20"/>
        <v>0</v>
      </c>
      <c r="O84" s="92">
        <f t="shared" si="20"/>
        <v>0</v>
      </c>
      <c r="P84" s="92">
        <f t="shared" si="20"/>
        <v>0</v>
      </c>
      <c r="R84" s="495">
        <f t="shared" si="14"/>
        <v>0</v>
      </c>
      <c r="S84" s="495">
        <f t="shared" si="15"/>
        <v>0</v>
      </c>
      <c r="T84" s="495">
        <f t="shared" si="16"/>
        <v>0</v>
      </c>
      <c r="U84" s="495">
        <f t="shared" si="17"/>
        <v>0</v>
      </c>
      <c r="V84" s="495">
        <f t="shared" si="18"/>
        <v>0</v>
      </c>
      <c r="W84" s="495">
        <f t="shared" si="19"/>
        <v>0</v>
      </c>
      <c r="Y84" s="495">
        <f>IF(Coverage!$G$4="Actual",Coverage!$C87,Coverage!$G87*$R84)</f>
        <v>0</v>
      </c>
      <c r="Z84" s="496">
        <f>ROUNDUP(S84*Coverage!H87,0)</f>
        <v>0</v>
      </c>
      <c r="AA84" s="496">
        <f>ROUNDUP(T84*Coverage!I87,0)</f>
        <v>0</v>
      </c>
      <c r="AB84" s="496">
        <f>ROUNDUP(U84*Coverage!J87,0)</f>
        <v>0</v>
      </c>
      <c r="AC84" s="496">
        <f>ROUNDUP(V84*Coverage!K87,0)</f>
        <v>0</v>
      </c>
      <c r="AD84" s="496">
        <f>ROUNDUP(W84*Coverage!L87,0)</f>
        <v>0</v>
      </c>
    </row>
    <row r="85" spans="1:30">
      <c r="A85" s="1">
        <v>80</v>
      </c>
      <c r="B85" s="494">
        <f>Package_Services!B87</f>
        <v>0</v>
      </c>
      <c r="C85" s="494">
        <f>Package_Services!C87</f>
        <v>0</v>
      </c>
      <c r="D85" s="494">
        <f>Package_Services!D87</f>
        <v>0</v>
      </c>
      <c r="E85" s="494">
        <f>Package_Services!E87</f>
        <v>0</v>
      </c>
      <c r="F85" s="494">
        <f>Package_Services!F87</f>
        <v>0</v>
      </c>
      <c r="G85" s="491">
        <f>Package_Services!G87</f>
        <v>0</v>
      </c>
      <c r="H85" s="494">
        <f>Package_Services!H87</f>
        <v>0</v>
      </c>
      <c r="I85" s="494">
        <f>Package_Services!I87</f>
        <v>0</v>
      </c>
      <c r="K85" s="92">
        <f t="shared" si="20"/>
        <v>0</v>
      </c>
      <c r="L85" s="92">
        <f t="shared" si="20"/>
        <v>0</v>
      </c>
      <c r="M85" s="92">
        <f t="shared" si="20"/>
        <v>0</v>
      </c>
      <c r="N85" s="92">
        <f t="shared" si="20"/>
        <v>0</v>
      </c>
      <c r="O85" s="92">
        <f t="shared" si="20"/>
        <v>0</v>
      </c>
      <c r="P85" s="92">
        <f t="shared" si="20"/>
        <v>0</v>
      </c>
      <c r="R85" s="495">
        <f t="shared" si="14"/>
        <v>0</v>
      </c>
      <c r="S85" s="495">
        <f t="shared" si="15"/>
        <v>0</v>
      </c>
      <c r="T85" s="495">
        <f t="shared" si="16"/>
        <v>0</v>
      </c>
      <c r="U85" s="495">
        <f t="shared" si="17"/>
        <v>0</v>
      </c>
      <c r="V85" s="495">
        <f t="shared" si="18"/>
        <v>0</v>
      </c>
      <c r="W85" s="495">
        <f t="shared" si="19"/>
        <v>0</v>
      </c>
      <c r="Y85" s="495">
        <f>IF(Coverage!$G$4="Actual",Coverage!$C88,Coverage!$G88*$R85)</f>
        <v>0</v>
      </c>
      <c r="Z85" s="496">
        <f>ROUNDUP(S85*Coverage!H88,0)</f>
        <v>0</v>
      </c>
      <c r="AA85" s="496">
        <f>ROUNDUP(T85*Coverage!I88,0)</f>
        <v>0</v>
      </c>
      <c r="AB85" s="496">
        <f>ROUNDUP(U85*Coverage!J88,0)</f>
        <v>0</v>
      </c>
      <c r="AC85" s="496">
        <f>ROUNDUP(V85*Coverage!K88,0)</f>
        <v>0</v>
      </c>
      <c r="AD85" s="496">
        <f>ROUNDUP(W85*Coverage!L88,0)</f>
        <v>0</v>
      </c>
    </row>
    <row r="86" spans="1:30">
      <c r="A86" s="1">
        <v>81</v>
      </c>
      <c r="B86" s="494">
        <f>Package_Services!B88</f>
        <v>0</v>
      </c>
      <c r="C86" s="494">
        <f>Package_Services!C88</f>
        <v>0</v>
      </c>
      <c r="D86" s="494">
        <f>Package_Services!D88</f>
        <v>0</v>
      </c>
      <c r="E86" s="494">
        <f>Package_Services!E88</f>
        <v>0</v>
      </c>
      <c r="F86" s="494">
        <f>Package_Services!F88</f>
        <v>0</v>
      </c>
      <c r="G86" s="491">
        <f>Package_Services!G88</f>
        <v>0</v>
      </c>
      <c r="H86" s="494">
        <f>Package_Services!H88</f>
        <v>0</v>
      </c>
      <c r="I86" s="494">
        <f>Package_Services!I88</f>
        <v>0</v>
      </c>
      <c r="K86" s="92">
        <f t="shared" ref="K86:P95" si="21">IF($D86=0,0,VLOOKUP($D86,lookup_demography,K$3,FALSE))</f>
        <v>0</v>
      </c>
      <c r="L86" s="92">
        <f t="shared" si="21"/>
        <v>0</v>
      </c>
      <c r="M86" s="92">
        <f t="shared" si="21"/>
        <v>0</v>
      </c>
      <c r="N86" s="92">
        <f t="shared" si="21"/>
        <v>0</v>
      </c>
      <c r="O86" s="92">
        <f t="shared" si="21"/>
        <v>0</v>
      </c>
      <c r="P86" s="92">
        <f t="shared" si="21"/>
        <v>0</v>
      </c>
      <c r="R86" s="495">
        <f t="shared" si="14"/>
        <v>0</v>
      </c>
      <c r="S86" s="495">
        <f t="shared" si="15"/>
        <v>0</v>
      </c>
      <c r="T86" s="495">
        <f t="shared" si="16"/>
        <v>0</v>
      </c>
      <c r="U86" s="495">
        <f t="shared" si="17"/>
        <v>0</v>
      </c>
      <c r="V86" s="495">
        <f t="shared" si="18"/>
        <v>0</v>
      </c>
      <c r="W86" s="495">
        <f t="shared" si="19"/>
        <v>0</v>
      </c>
      <c r="Y86" s="495">
        <f>IF(Coverage!$G$4="Actual",Coverage!$C89,Coverage!$G89*$R86)</f>
        <v>0</v>
      </c>
      <c r="Z86" s="496">
        <f>ROUNDUP(S86*Coverage!H89,0)</f>
        <v>0</v>
      </c>
      <c r="AA86" s="496">
        <f>ROUNDUP(T86*Coverage!I89,0)</f>
        <v>0</v>
      </c>
      <c r="AB86" s="496">
        <f>ROUNDUP(U86*Coverage!J89,0)</f>
        <v>0</v>
      </c>
      <c r="AC86" s="496">
        <f>ROUNDUP(V86*Coverage!K89,0)</f>
        <v>0</v>
      </c>
      <c r="AD86" s="496">
        <f>ROUNDUP(W86*Coverage!L89,0)</f>
        <v>0</v>
      </c>
    </row>
    <row r="87" spans="1:30">
      <c r="A87" s="1">
        <v>82</v>
      </c>
      <c r="B87" s="494">
        <f>Package_Services!B89</f>
        <v>0</v>
      </c>
      <c r="C87" s="494">
        <f>Package_Services!C89</f>
        <v>0</v>
      </c>
      <c r="D87" s="494">
        <f>Package_Services!D89</f>
        <v>0</v>
      </c>
      <c r="E87" s="494">
        <f>Package_Services!E89</f>
        <v>0</v>
      </c>
      <c r="F87" s="494">
        <f>Package_Services!F89</f>
        <v>0</v>
      </c>
      <c r="G87" s="491">
        <f>Package_Services!G89</f>
        <v>0</v>
      </c>
      <c r="H87" s="494">
        <f>Package_Services!H89</f>
        <v>0</v>
      </c>
      <c r="I87" s="494">
        <f>Package_Services!I89</f>
        <v>0</v>
      </c>
      <c r="K87" s="92">
        <f t="shared" si="21"/>
        <v>0</v>
      </c>
      <c r="L87" s="92">
        <f t="shared" si="21"/>
        <v>0</v>
      </c>
      <c r="M87" s="92">
        <f t="shared" si="21"/>
        <v>0</v>
      </c>
      <c r="N87" s="92">
        <f t="shared" si="21"/>
        <v>0</v>
      </c>
      <c r="O87" s="92">
        <f t="shared" si="21"/>
        <v>0</v>
      </c>
      <c r="P87" s="92">
        <f t="shared" si="21"/>
        <v>0</v>
      </c>
      <c r="R87" s="495">
        <f t="shared" si="14"/>
        <v>0</v>
      </c>
      <c r="S87" s="495">
        <f t="shared" si="15"/>
        <v>0</v>
      </c>
      <c r="T87" s="495">
        <f t="shared" si="16"/>
        <v>0</v>
      </c>
      <c r="U87" s="495">
        <f t="shared" si="17"/>
        <v>0</v>
      </c>
      <c r="V87" s="495">
        <f t="shared" si="18"/>
        <v>0</v>
      </c>
      <c r="W87" s="495">
        <f t="shared" si="19"/>
        <v>0</v>
      </c>
      <c r="Y87" s="495">
        <f>IF(Coverage!$G$4="Actual",Coverage!$C90,Coverage!$G90*$R87)</f>
        <v>0</v>
      </c>
      <c r="Z87" s="496">
        <f>ROUNDUP(S87*Coverage!H90,0)</f>
        <v>0</v>
      </c>
      <c r="AA87" s="496">
        <f>ROUNDUP(T87*Coverage!I90,0)</f>
        <v>0</v>
      </c>
      <c r="AB87" s="496">
        <f>ROUNDUP(U87*Coverage!J90,0)</f>
        <v>0</v>
      </c>
      <c r="AC87" s="496">
        <f>ROUNDUP(V87*Coverage!K90,0)</f>
        <v>0</v>
      </c>
      <c r="AD87" s="496">
        <f>ROUNDUP(W87*Coverage!L90,0)</f>
        <v>0</v>
      </c>
    </row>
    <row r="88" spans="1:30">
      <c r="A88" s="1">
        <v>83</v>
      </c>
      <c r="B88" s="494">
        <f>Package_Services!B90</f>
        <v>0</v>
      </c>
      <c r="C88" s="494">
        <f>Package_Services!C90</f>
        <v>0</v>
      </c>
      <c r="D88" s="494">
        <f>Package_Services!D90</f>
        <v>0</v>
      </c>
      <c r="E88" s="494">
        <f>Package_Services!E90</f>
        <v>0</v>
      </c>
      <c r="F88" s="494">
        <f>Package_Services!F90</f>
        <v>0</v>
      </c>
      <c r="G88" s="491">
        <f>Package_Services!G90</f>
        <v>0</v>
      </c>
      <c r="H88" s="494">
        <f>Package_Services!H90</f>
        <v>0</v>
      </c>
      <c r="I88" s="494">
        <f>Package_Services!I90</f>
        <v>0</v>
      </c>
      <c r="K88" s="92">
        <f t="shared" si="21"/>
        <v>0</v>
      </c>
      <c r="L88" s="92">
        <f t="shared" si="21"/>
        <v>0</v>
      </c>
      <c r="M88" s="92">
        <f t="shared" si="21"/>
        <v>0</v>
      </c>
      <c r="N88" s="92">
        <f t="shared" si="21"/>
        <v>0</v>
      </c>
      <c r="O88" s="92">
        <f t="shared" si="21"/>
        <v>0</v>
      </c>
      <c r="P88" s="92">
        <f t="shared" si="21"/>
        <v>0</v>
      </c>
      <c r="R88" s="495">
        <f t="shared" si="14"/>
        <v>0</v>
      </c>
      <c r="S88" s="495">
        <f t="shared" si="15"/>
        <v>0</v>
      </c>
      <c r="T88" s="495">
        <f t="shared" si="16"/>
        <v>0</v>
      </c>
      <c r="U88" s="495">
        <f t="shared" si="17"/>
        <v>0</v>
      </c>
      <c r="V88" s="495">
        <f t="shared" si="18"/>
        <v>0</v>
      </c>
      <c r="W88" s="495">
        <f t="shared" si="19"/>
        <v>0</v>
      </c>
      <c r="Y88" s="495">
        <f>IF(Coverage!$G$4="Actual",Coverage!$C91,Coverage!$G91*$R88)</f>
        <v>0</v>
      </c>
      <c r="Z88" s="496">
        <f>ROUNDUP(S88*Coverage!H91,0)</f>
        <v>0</v>
      </c>
      <c r="AA88" s="496">
        <f>ROUNDUP(T88*Coverage!I91,0)</f>
        <v>0</v>
      </c>
      <c r="AB88" s="496">
        <f>ROUNDUP(U88*Coverage!J91,0)</f>
        <v>0</v>
      </c>
      <c r="AC88" s="496">
        <f>ROUNDUP(V88*Coverage!K91,0)</f>
        <v>0</v>
      </c>
      <c r="AD88" s="496">
        <f>ROUNDUP(W88*Coverage!L91,0)</f>
        <v>0</v>
      </c>
    </row>
    <row r="89" spans="1:30">
      <c r="A89" s="1">
        <v>84</v>
      </c>
      <c r="B89" s="494">
        <f>Package_Services!B91</f>
        <v>0</v>
      </c>
      <c r="C89" s="494">
        <f>Package_Services!C91</f>
        <v>0</v>
      </c>
      <c r="D89" s="494">
        <f>Package_Services!D91</f>
        <v>0</v>
      </c>
      <c r="E89" s="494">
        <f>Package_Services!E91</f>
        <v>0</v>
      </c>
      <c r="F89" s="494">
        <f>Package_Services!F91</f>
        <v>0</v>
      </c>
      <c r="G89" s="491">
        <f>Package_Services!G91</f>
        <v>0</v>
      </c>
      <c r="H89" s="494">
        <f>Package_Services!H91</f>
        <v>0</v>
      </c>
      <c r="I89" s="494">
        <f>Package_Services!I91</f>
        <v>0</v>
      </c>
      <c r="K89" s="92">
        <f t="shared" si="21"/>
        <v>0</v>
      </c>
      <c r="L89" s="92">
        <f t="shared" si="21"/>
        <v>0</v>
      </c>
      <c r="M89" s="92">
        <f t="shared" si="21"/>
        <v>0</v>
      </c>
      <c r="N89" s="92">
        <f t="shared" si="21"/>
        <v>0</v>
      </c>
      <c r="O89" s="92">
        <f t="shared" si="21"/>
        <v>0</v>
      </c>
      <c r="P89" s="92">
        <f t="shared" si="21"/>
        <v>0</v>
      </c>
      <c r="R89" s="495">
        <f t="shared" si="14"/>
        <v>0</v>
      </c>
      <c r="S89" s="495">
        <f t="shared" si="15"/>
        <v>0</v>
      </c>
      <c r="T89" s="495">
        <f t="shared" si="16"/>
        <v>0</v>
      </c>
      <c r="U89" s="495">
        <f t="shared" si="17"/>
        <v>0</v>
      </c>
      <c r="V89" s="495">
        <f t="shared" si="18"/>
        <v>0</v>
      </c>
      <c r="W89" s="495">
        <f t="shared" si="19"/>
        <v>0</v>
      </c>
      <c r="Y89" s="495">
        <f>IF(Coverage!$G$4="Actual",Coverage!$C92,Coverage!$G92*$R89)</f>
        <v>0</v>
      </c>
      <c r="Z89" s="496">
        <f>ROUNDUP(S89*Coverage!H92,0)</f>
        <v>0</v>
      </c>
      <c r="AA89" s="496">
        <f>ROUNDUP(T89*Coverage!I92,0)</f>
        <v>0</v>
      </c>
      <c r="AB89" s="496">
        <f>ROUNDUP(U89*Coverage!J92,0)</f>
        <v>0</v>
      </c>
      <c r="AC89" s="496">
        <f>ROUNDUP(V89*Coverage!K92,0)</f>
        <v>0</v>
      </c>
      <c r="AD89" s="496">
        <f>ROUNDUP(W89*Coverage!L92,0)</f>
        <v>0</v>
      </c>
    </row>
    <row r="90" spans="1:30">
      <c r="A90" s="1">
        <v>85</v>
      </c>
      <c r="B90" s="494">
        <f>Package_Services!B92</f>
        <v>0</v>
      </c>
      <c r="C90" s="494">
        <f>Package_Services!C92</f>
        <v>0</v>
      </c>
      <c r="D90" s="494">
        <f>Package_Services!D92</f>
        <v>0</v>
      </c>
      <c r="E90" s="494">
        <f>Package_Services!E92</f>
        <v>0</v>
      </c>
      <c r="F90" s="494">
        <f>Package_Services!F92</f>
        <v>0</v>
      </c>
      <c r="G90" s="491">
        <f>Package_Services!G92</f>
        <v>0</v>
      </c>
      <c r="H90" s="494">
        <f>Package_Services!H92</f>
        <v>0</v>
      </c>
      <c r="I90" s="494">
        <f>Package_Services!I92</f>
        <v>0</v>
      </c>
      <c r="K90" s="92">
        <f t="shared" si="21"/>
        <v>0</v>
      </c>
      <c r="L90" s="92">
        <f t="shared" si="21"/>
        <v>0</v>
      </c>
      <c r="M90" s="92">
        <f t="shared" si="21"/>
        <v>0</v>
      </c>
      <c r="N90" s="92">
        <f t="shared" si="21"/>
        <v>0</v>
      </c>
      <c r="O90" s="92">
        <f t="shared" si="21"/>
        <v>0</v>
      </c>
      <c r="P90" s="92">
        <f t="shared" si="21"/>
        <v>0</v>
      </c>
      <c r="R90" s="495">
        <f t="shared" si="14"/>
        <v>0</v>
      </c>
      <c r="S90" s="495">
        <f t="shared" si="15"/>
        <v>0</v>
      </c>
      <c r="T90" s="495">
        <f t="shared" si="16"/>
        <v>0</v>
      </c>
      <c r="U90" s="495">
        <f t="shared" si="17"/>
        <v>0</v>
      </c>
      <c r="V90" s="495">
        <f t="shared" si="18"/>
        <v>0</v>
      </c>
      <c r="W90" s="495">
        <f t="shared" si="19"/>
        <v>0</v>
      </c>
      <c r="Y90" s="495">
        <f>IF(Coverage!$G$4="Actual",Coverage!$C93,Coverage!$G93*$R90)</f>
        <v>0</v>
      </c>
      <c r="Z90" s="496">
        <f>ROUNDUP(S90*Coverage!H93,0)</f>
        <v>0</v>
      </c>
      <c r="AA90" s="496">
        <f>ROUNDUP(T90*Coverage!I93,0)</f>
        <v>0</v>
      </c>
      <c r="AB90" s="496">
        <f>ROUNDUP(U90*Coverage!J93,0)</f>
        <v>0</v>
      </c>
      <c r="AC90" s="496">
        <f>ROUNDUP(V90*Coverage!K93,0)</f>
        <v>0</v>
      </c>
      <c r="AD90" s="496">
        <f>ROUNDUP(W90*Coverage!L93,0)</f>
        <v>0</v>
      </c>
    </row>
    <row r="91" spans="1:30">
      <c r="A91" s="1">
        <v>86</v>
      </c>
      <c r="B91" s="494">
        <f>Package_Services!B93</f>
        <v>0</v>
      </c>
      <c r="C91" s="494">
        <f>Package_Services!C93</f>
        <v>0</v>
      </c>
      <c r="D91" s="494">
        <f>Package_Services!D93</f>
        <v>0</v>
      </c>
      <c r="E91" s="494">
        <f>Package_Services!E93</f>
        <v>0</v>
      </c>
      <c r="F91" s="494">
        <f>Package_Services!F93</f>
        <v>0</v>
      </c>
      <c r="G91" s="491">
        <f>Package_Services!G93</f>
        <v>0</v>
      </c>
      <c r="H91" s="494">
        <f>Package_Services!H93</f>
        <v>0</v>
      </c>
      <c r="I91" s="494">
        <f>Package_Services!I93</f>
        <v>0</v>
      </c>
      <c r="K91" s="92">
        <f t="shared" si="21"/>
        <v>0</v>
      </c>
      <c r="L91" s="92">
        <f t="shared" si="21"/>
        <v>0</v>
      </c>
      <c r="M91" s="92">
        <f t="shared" si="21"/>
        <v>0</v>
      </c>
      <c r="N91" s="92">
        <f t="shared" si="21"/>
        <v>0</v>
      </c>
      <c r="O91" s="92">
        <f t="shared" si="21"/>
        <v>0</v>
      </c>
      <c r="P91" s="92">
        <f t="shared" si="21"/>
        <v>0</v>
      </c>
      <c r="R91" s="495">
        <f t="shared" si="14"/>
        <v>0</v>
      </c>
      <c r="S91" s="495">
        <f t="shared" si="15"/>
        <v>0</v>
      </c>
      <c r="T91" s="495">
        <f t="shared" si="16"/>
        <v>0</v>
      </c>
      <c r="U91" s="495">
        <f t="shared" si="17"/>
        <v>0</v>
      </c>
      <c r="V91" s="495">
        <f t="shared" si="18"/>
        <v>0</v>
      </c>
      <c r="W91" s="495">
        <f t="shared" si="19"/>
        <v>0</v>
      </c>
      <c r="Y91" s="495">
        <f>IF(Coverage!$G$4="Actual",Coverage!$C94,Coverage!$G94*$R91)</f>
        <v>0</v>
      </c>
      <c r="Z91" s="496">
        <f>ROUNDUP(S91*Coverage!H94,0)</f>
        <v>0</v>
      </c>
      <c r="AA91" s="496">
        <f>ROUNDUP(T91*Coverage!I94,0)</f>
        <v>0</v>
      </c>
      <c r="AB91" s="496">
        <f>ROUNDUP(U91*Coverage!J94,0)</f>
        <v>0</v>
      </c>
      <c r="AC91" s="496">
        <f>ROUNDUP(V91*Coverage!K94,0)</f>
        <v>0</v>
      </c>
      <c r="AD91" s="496">
        <f>ROUNDUP(W91*Coverage!L94,0)</f>
        <v>0</v>
      </c>
    </row>
    <row r="92" spans="1:30">
      <c r="A92" s="1">
        <v>87</v>
      </c>
      <c r="B92" s="494">
        <f>Package_Services!B94</f>
        <v>0</v>
      </c>
      <c r="C92" s="494">
        <f>Package_Services!C94</f>
        <v>0</v>
      </c>
      <c r="D92" s="494">
        <f>Package_Services!D94</f>
        <v>0</v>
      </c>
      <c r="E92" s="494">
        <f>Package_Services!E94</f>
        <v>0</v>
      </c>
      <c r="F92" s="494">
        <f>Package_Services!F94</f>
        <v>0</v>
      </c>
      <c r="G92" s="491">
        <f>Package_Services!G94</f>
        <v>0</v>
      </c>
      <c r="H92" s="494">
        <f>Package_Services!H94</f>
        <v>0</v>
      </c>
      <c r="I92" s="494">
        <f>Package_Services!I94</f>
        <v>0</v>
      </c>
      <c r="K92" s="92">
        <f t="shared" si="21"/>
        <v>0</v>
      </c>
      <c r="L92" s="92">
        <f t="shared" si="21"/>
        <v>0</v>
      </c>
      <c r="M92" s="92">
        <f t="shared" si="21"/>
        <v>0</v>
      </c>
      <c r="N92" s="92">
        <f t="shared" si="21"/>
        <v>0</v>
      </c>
      <c r="O92" s="92">
        <f t="shared" si="21"/>
        <v>0</v>
      </c>
      <c r="P92" s="92">
        <f t="shared" si="21"/>
        <v>0</v>
      </c>
      <c r="R92" s="495">
        <f t="shared" si="14"/>
        <v>0</v>
      </c>
      <c r="S92" s="495">
        <f t="shared" si="15"/>
        <v>0</v>
      </c>
      <c r="T92" s="495">
        <f t="shared" si="16"/>
        <v>0</v>
      </c>
      <c r="U92" s="495">
        <f t="shared" si="17"/>
        <v>0</v>
      </c>
      <c r="V92" s="495">
        <f t="shared" si="18"/>
        <v>0</v>
      </c>
      <c r="W92" s="495">
        <f t="shared" si="19"/>
        <v>0</v>
      </c>
      <c r="Y92" s="495">
        <f>IF(Coverage!$G$4="Actual",Coverage!$C95,Coverage!$G95*$R92)</f>
        <v>0</v>
      </c>
      <c r="Z92" s="496">
        <f>ROUNDUP(S92*Coverage!H95,0)</f>
        <v>0</v>
      </c>
      <c r="AA92" s="496">
        <f>ROUNDUP(T92*Coverage!I95,0)</f>
        <v>0</v>
      </c>
      <c r="AB92" s="496">
        <f>ROUNDUP(U92*Coverage!J95,0)</f>
        <v>0</v>
      </c>
      <c r="AC92" s="496">
        <f>ROUNDUP(V92*Coverage!K95,0)</f>
        <v>0</v>
      </c>
      <c r="AD92" s="496">
        <f>ROUNDUP(W92*Coverage!L95,0)</f>
        <v>0</v>
      </c>
    </row>
    <row r="93" spans="1:30">
      <c r="A93" s="1">
        <v>88</v>
      </c>
      <c r="B93" s="494">
        <f>Package_Services!B95</f>
        <v>0</v>
      </c>
      <c r="C93" s="494">
        <f>Package_Services!C95</f>
        <v>0</v>
      </c>
      <c r="D93" s="494">
        <f>Package_Services!D95</f>
        <v>0</v>
      </c>
      <c r="E93" s="494">
        <f>Package_Services!E95</f>
        <v>0</v>
      </c>
      <c r="F93" s="494">
        <f>Package_Services!F95</f>
        <v>0</v>
      </c>
      <c r="G93" s="491">
        <f>Package_Services!G95</f>
        <v>0</v>
      </c>
      <c r="H93" s="494">
        <f>Package_Services!H95</f>
        <v>0</v>
      </c>
      <c r="I93" s="494">
        <f>Package_Services!I95</f>
        <v>0</v>
      </c>
      <c r="K93" s="92">
        <f t="shared" si="21"/>
        <v>0</v>
      </c>
      <c r="L93" s="92">
        <f t="shared" si="21"/>
        <v>0</v>
      </c>
      <c r="M93" s="92">
        <f t="shared" si="21"/>
        <v>0</v>
      </c>
      <c r="N93" s="92">
        <f t="shared" si="21"/>
        <v>0</v>
      </c>
      <c r="O93" s="92">
        <f t="shared" si="21"/>
        <v>0</v>
      </c>
      <c r="P93" s="92">
        <f t="shared" si="21"/>
        <v>0</v>
      </c>
      <c r="R93" s="495">
        <f t="shared" si="14"/>
        <v>0</v>
      </c>
      <c r="S93" s="495">
        <f t="shared" si="15"/>
        <v>0</v>
      </c>
      <c r="T93" s="495">
        <f t="shared" si="16"/>
        <v>0</v>
      </c>
      <c r="U93" s="495">
        <f t="shared" si="17"/>
        <v>0</v>
      </c>
      <c r="V93" s="495">
        <f t="shared" si="18"/>
        <v>0</v>
      </c>
      <c r="W93" s="495">
        <f t="shared" si="19"/>
        <v>0</v>
      </c>
      <c r="Y93" s="495">
        <f>IF(Coverage!$G$4="Actual",Coverage!$C96,Coverage!$G96*$R93)</f>
        <v>0</v>
      </c>
      <c r="Z93" s="496">
        <f>ROUNDUP(S93*Coverage!H96,0)</f>
        <v>0</v>
      </c>
      <c r="AA93" s="496">
        <f>ROUNDUP(T93*Coverage!I96,0)</f>
        <v>0</v>
      </c>
      <c r="AB93" s="496">
        <f>ROUNDUP(U93*Coverage!J96,0)</f>
        <v>0</v>
      </c>
      <c r="AC93" s="496">
        <f>ROUNDUP(V93*Coverage!K96,0)</f>
        <v>0</v>
      </c>
      <c r="AD93" s="496">
        <f>ROUNDUP(W93*Coverage!L96,0)</f>
        <v>0</v>
      </c>
    </row>
    <row r="94" spans="1:30">
      <c r="A94" s="1">
        <v>89</v>
      </c>
      <c r="B94" s="494">
        <f>Package_Services!B96</f>
        <v>0</v>
      </c>
      <c r="C94" s="494">
        <f>Package_Services!C96</f>
        <v>0</v>
      </c>
      <c r="D94" s="494">
        <f>Package_Services!D96</f>
        <v>0</v>
      </c>
      <c r="E94" s="494">
        <f>Package_Services!E96</f>
        <v>0</v>
      </c>
      <c r="F94" s="494">
        <f>Package_Services!F96</f>
        <v>0</v>
      </c>
      <c r="G94" s="491">
        <f>Package_Services!G96</f>
        <v>0</v>
      </c>
      <c r="H94" s="494">
        <f>Package_Services!H96</f>
        <v>0</v>
      </c>
      <c r="I94" s="494">
        <f>Package_Services!I96</f>
        <v>0</v>
      </c>
      <c r="K94" s="92">
        <f t="shared" si="21"/>
        <v>0</v>
      </c>
      <c r="L94" s="92">
        <f t="shared" si="21"/>
        <v>0</v>
      </c>
      <c r="M94" s="92">
        <f t="shared" si="21"/>
        <v>0</v>
      </c>
      <c r="N94" s="92">
        <f t="shared" si="21"/>
        <v>0</v>
      </c>
      <c r="O94" s="92">
        <f t="shared" si="21"/>
        <v>0</v>
      </c>
      <c r="P94" s="92">
        <f t="shared" si="21"/>
        <v>0</v>
      </c>
      <c r="R94" s="495">
        <f t="shared" si="14"/>
        <v>0</v>
      </c>
      <c r="S94" s="495">
        <f t="shared" si="15"/>
        <v>0</v>
      </c>
      <c r="T94" s="495">
        <f t="shared" si="16"/>
        <v>0</v>
      </c>
      <c r="U94" s="495">
        <f t="shared" si="17"/>
        <v>0</v>
      </c>
      <c r="V94" s="495">
        <f t="shared" si="18"/>
        <v>0</v>
      </c>
      <c r="W94" s="495">
        <f t="shared" si="19"/>
        <v>0</v>
      </c>
      <c r="Y94" s="495">
        <f>IF(Coverage!$G$4="Actual",Coverage!$C97,Coverage!$G97*$R94)</f>
        <v>0</v>
      </c>
      <c r="Z94" s="496">
        <f>ROUNDUP(S94*Coverage!H97,0)</f>
        <v>0</v>
      </c>
      <c r="AA94" s="496">
        <f>ROUNDUP(T94*Coverage!I97,0)</f>
        <v>0</v>
      </c>
      <c r="AB94" s="496">
        <f>ROUNDUP(U94*Coverage!J97,0)</f>
        <v>0</v>
      </c>
      <c r="AC94" s="496">
        <f>ROUNDUP(V94*Coverage!K97,0)</f>
        <v>0</v>
      </c>
      <c r="AD94" s="496">
        <f>ROUNDUP(W94*Coverage!L97,0)</f>
        <v>0</v>
      </c>
    </row>
    <row r="95" spans="1:30">
      <c r="A95" s="1">
        <v>90</v>
      </c>
      <c r="B95" s="494">
        <f>Package_Services!B97</f>
        <v>0</v>
      </c>
      <c r="C95" s="494">
        <f>Package_Services!C97</f>
        <v>0</v>
      </c>
      <c r="D95" s="494">
        <f>Package_Services!D97</f>
        <v>0</v>
      </c>
      <c r="E95" s="494">
        <f>Package_Services!E97</f>
        <v>0</v>
      </c>
      <c r="F95" s="494">
        <f>Package_Services!F97</f>
        <v>0</v>
      </c>
      <c r="G95" s="491">
        <f>Package_Services!G97</f>
        <v>0</v>
      </c>
      <c r="H95" s="494">
        <f>Package_Services!H97</f>
        <v>0</v>
      </c>
      <c r="I95" s="494">
        <f>Package_Services!I97</f>
        <v>0</v>
      </c>
      <c r="K95" s="92">
        <f t="shared" si="21"/>
        <v>0</v>
      </c>
      <c r="L95" s="92">
        <f t="shared" si="21"/>
        <v>0</v>
      </c>
      <c r="M95" s="92">
        <f t="shared" si="21"/>
        <v>0</v>
      </c>
      <c r="N95" s="92">
        <f t="shared" si="21"/>
        <v>0</v>
      </c>
      <c r="O95" s="92">
        <f t="shared" si="21"/>
        <v>0</v>
      </c>
      <c r="P95" s="92">
        <f t="shared" si="21"/>
        <v>0</v>
      </c>
      <c r="R95" s="495">
        <f t="shared" si="14"/>
        <v>0</v>
      </c>
      <c r="S95" s="495">
        <f t="shared" si="15"/>
        <v>0</v>
      </c>
      <c r="T95" s="495">
        <f t="shared" si="16"/>
        <v>0</v>
      </c>
      <c r="U95" s="495">
        <f t="shared" si="17"/>
        <v>0</v>
      </c>
      <c r="V95" s="495">
        <f t="shared" si="18"/>
        <v>0</v>
      </c>
      <c r="W95" s="495">
        <f t="shared" si="19"/>
        <v>0</v>
      </c>
      <c r="Y95" s="495">
        <f>IF(Coverage!$G$4="Actual",Coverage!$C98,Coverage!$G98*$R95)</f>
        <v>0</v>
      </c>
      <c r="Z95" s="496">
        <f>ROUNDUP(S95*Coverage!H98,0)</f>
        <v>0</v>
      </c>
      <c r="AA95" s="496">
        <f>ROUNDUP(T95*Coverage!I98,0)</f>
        <v>0</v>
      </c>
      <c r="AB95" s="496">
        <f>ROUNDUP(U95*Coverage!J98,0)</f>
        <v>0</v>
      </c>
      <c r="AC95" s="496">
        <f>ROUNDUP(V95*Coverage!K98,0)</f>
        <v>0</v>
      </c>
      <c r="AD95" s="496">
        <f>ROUNDUP(W95*Coverage!L98,0)</f>
        <v>0</v>
      </c>
    </row>
    <row r="96" spans="1:30">
      <c r="A96" s="1">
        <v>91</v>
      </c>
      <c r="B96" s="494">
        <f>Package_Services!B98</f>
        <v>0</v>
      </c>
      <c r="C96" s="494">
        <f>Package_Services!C98</f>
        <v>0</v>
      </c>
      <c r="D96" s="494">
        <f>Package_Services!D98</f>
        <v>0</v>
      </c>
      <c r="E96" s="494">
        <f>Package_Services!E98</f>
        <v>0</v>
      </c>
      <c r="F96" s="494">
        <f>Package_Services!F98</f>
        <v>0</v>
      </c>
      <c r="G96" s="491">
        <f>Package_Services!G98</f>
        <v>0</v>
      </c>
      <c r="H96" s="494">
        <f>Package_Services!H98</f>
        <v>0</v>
      </c>
      <c r="I96" s="494">
        <f>Package_Services!I98</f>
        <v>0</v>
      </c>
      <c r="K96" s="92">
        <f t="shared" ref="K96:P105" si="22">IF($D96=0,0,VLOOKUP($D96,lookup_demography,K$3,FALSE))</f>
        <v>0</v>
      </c>
      <c r="L96" s="92">
        <f t="shared" si="22"/>
        <v>0</v>
      </c>
      <c r="M96" s="92">
        <f t="shared" si="22"/>
        <v>0</v>
      </c>
      <c r="N96" s="92">
        <f t="shared" si="22"/>
        <v>0</v>
      </c>
      <c r="O96" s="92">
        <f t="shared" si="22"/>
        <v>0</v>
      </c>
      <c r="P96" s="92">
        <f t="shared" si="22"/>
        <v>0</v>
      </c>
      <c r="R96" s="495">
        <f t="shared" si="14"/>
        <v>0</v>
      </c>
      <c r="S96" s="495">
        <f t="shared" si="15"/>
        <v>0</v>
      </c>
      <c r="T96" s="495">
        <f t="shared" si="16"/>
        <v>0</v>
      </c>
      <c r="U96" s="495">
        <f t="shared" si="17"/>
        <v>0</v>
      </c>
      <c r="V96" s="495">
        <f t="shared" si="18"/>
        <v>0</v>
      </c>
      <c r="W96" s="495">
        <f t="shared" si="19"/>
        <v>0</v>
      </c>
      <c r="Y96" s="495">
        <f>IF(Coverage!$G$4="Actual",Coverage!$C99,Coverage!$G99*$R96)</f>
        <v>0</v>
      </c>
      <c r="Z96" s="496">
        <f>ROUNDUP(S96*Coverage!H99,0)</f>
        <v>0</v>
      </c>
      <c r="AA96" s="496">
        <f>ROUNDUP(T96*Coverage!I99,0)</f>
        <v>0</v>
      </c>
      <c r="AB96" s="496">
        <f>ROUNDUP(U96*Coverage!J99,0)</f>
        <v>0</v>
      </c>
      <c r="AC96" s="496">
        <f>ROUNDUP(V96*Coverage!K99,0)</f>
        <v>0</v>
      </c>
      <c r="AD96" s="496">
        <f>ROUNDUP(W96*Coverage!L99,0)</f>
        <v>0</v>
      </c>
    </row>
    <row r="97" spans="1:30">
      <c r="A97" s="1">
        <v>92</v>
      </c>
      <c r="B97" s="494">
        <f>Package_Services!B99</f>
        <v>0</v>
      </c>
      <c r="C97" s="494">
        <f>Package_Services!C99</f>
        <v>0</v>
      </c>
      <c r="D97" s="494">
        <f>Package_Services!D99</f>
        <v>0</v>
      </c>
      <c r="E97" s="494">
        <f>Package_Services!E99</f>
        <v>0</v>
      </c>
      <c r="F97" s="494">
        <f>Package_Services!F99</f>
        <v>0</v>
      </c>
      <c r="G97" s="491">
        <f>Package_Services!G99</f>
        <v>0</v>
      </c>
      <c r="H97" s="494">
        <f>Package_Services!H99</f>
        <v>0</v>
      </c>
      <c r="I97" s="494">
        <f>Package_Services!I99</f>
        <v>0</v>
      </c>
      <c r="K97" s="92">
        <f t="shared" si="22"/>
        <v>0</v>
      </c>
      <c r="L97" s="92">
        <f t="shared" si="22"/>
        <v>0</v>
      </c>
      <c r="M97" s="92">
        <f t="shared" si="22"/>
        <v>0</v>
      </c>
      <c r="N97" s="92">
        <f t="shared" si="22"/>
        <v>0</v>
      </c>
      <c r="O97" s="92">
        <f t="shared" si="22"/>
        <v>0</v>
      </c>
      <c r="P97" s="92">
        <f t="shared" si="22"/>
        <v>0</v>
      </c>
      <c r="R97" s="495">
        <f t="shared" si="14"/>
        <v>0</v>
      </c>
      <c r="S97" s="495">
        <f t="shared" si="15"/>
        <v>0</v>
      </c>
      <c r="T97" s="495">
        <f t="shared" si="16"/>
        <v>0</v>
      </c>
      <c r="U97" s="495">
        <f t="shared" si="17"/>
        <v>0</v>
      </c>
      <c r="V97" s="495">
        <f t="shared" si="18"/>
        <v>0</v>
      </c>
      <c r="W97" s="495">
        <f t="shared" si="19"/>
        <v>0</v>
      </c>
      <c r="Y97" s="495">
        <f>IF(Coverage!$G$4="Actual",Coverage!$C100,Coverage!$G100*$R97)</f>
        <v>0</v>
      </c>
      <c r="Z97" s="496">
        <f>ROUNDUP(S97*Coverage!H100,0)</f>
        <v>0</v>
      </c>
      <c r="AA97" s="496">
        <f>ROUNDUP(T97*Coverage!I100,0)</f>
        <v>0</v>
      </c>
      <c r="AB97" s="496">
        <f>ROUNDUP(U97*Coverage!J100,0)</f>
        <v>0</v>
      </c>
      <c r="AC97" s="496">
        <f>ROUNDUP(V97*Coverage!K100,0)</f>
        <v>0</v>
      </c>
      <c r="AD97" s="496">
        <f>ROUNDUP(W97*Coverage!L100,0)</f>
        <v>0</v>
      </c>
    </row>
    <row r="98" spans="1:30">
      <c r="A98" s="1">
        <v>93</v>
      </c>
      <c r="B98" s="494">
        <f>Package_Services!B100</f>
        <v>0</v>
      </c>
      <c r="C98" s="494">
        <f>Package_Services!C100</f>
        <v>0</v>
      </c>
      <c r="D98" s="494">
        <f>Package_Services!D100</f>
        <v>0</v>
      </c>
      <c r="E98" s="494">
        <f>Package_Services!E100</f>
        <v>0</v>
      </c>
      <c r="F98" s="494">
        <f>Package_Services!F100</f>
        <v>0</v>
      </c>
      <c r="G98" s="491">
        <f>Package_Services!G100</f>
        <v>0</v>
      </c>
      <c r="H98" s="494">
        <f>Package_Services!H100</f>
        <v>0</v>
      </c>
      <c r="I98" s="494">
        <f>Package_Services!I100</f>
        <v>0</v>
      </c>
      <c r="K98" s="92">
        <f t="shared" si="22"/>
        <v>0</v>
      </c>
      <c r="L98" s="92">
        <f t="shared" si="22"/>
        <v>0</v>
      </c>
      <c r="M98" s="92">
        <f t="shared" si="22"/>
        <v>0</v>
      </c>
      <c r="N98" s="92">
        <f t="shared" si="22"/>
        <v>0</v>
      </c>
      <c r="O98" s="92">
        <f t="shared" si="22"/>
        <v>0</v>
      </c>
      <c r="P98" s="92">
        <f t="shared" si="22"/>
        <v>0</v>
      </c>
      <c r="R98" s="495">
        <f t="shared" si="14"/>
        <v>0</v>
      </c>
      <c r="S98" s="495">
        <f t="shared" si="15"/>
        <v>0</v>
      </c>
      <c r="T98" s="495">
        <f t="shared" si="16"/>
        <v>0</v>
      </c>
      <c r="U98" s="495">
        <f t="shared" si="17"/>
        <v>0</v>
      </c>
      <c r="V98" s="495">
        <f t="shared" si="18"/>
        <v>0</v>
      </c>
      <c r="W98" s="495">
        <f t="shared" si="19"/>
        <v>0</v>
      </c>
      <c r="Y98" s="495">
        <f>IF(Coverage!$G$4="Actual",Coverage!$C101,Coverage!$G101*$R98)</f>
        <v>0</v>
      </c>
      <c r="Z98" s="496">
        <f>ROUNDUP(S98*Coverage!H101,0)</f>
        <v>0</v>
      </c>
      <c r="AA98" s="496">
        <f>ROUNDUP(T98*Coverage!I101,0)</f>
        <v>0</v>
      </c>
      <c r="AB98" s="496">
        <f>ROUNDUP(U98*Coverage!J101,0)</f>
        <v>0</v>
      </c>
      <c r="AC98" s="496">
        <f>ROUNDUP(V98*Coverage!K101,0)</f>
        <v>0</v>
      </c>
      <c r="AD98" s="496">
        <f>ROUNDUP(W98*Coverage!L101,0)</f>
        <v>0</v>
      </c>
    </row>
    <row r="99" spans="1:30">
      <c r="A99" s="1">
        <v>94</v>
      </c>
      <c r="B99" s="494">
        <f>Package_Services!B101</f>
        <v>0</v>
      </c>
      <c r="C99" s="494">
        <f>Package_Services!C101</f>
        <v>0</v>
      </c>
      <c r="D99" s="494">
        <f>Package_Services!D101</f>
        <v>0</v>
      </c>
      <c r="E99" s="494">
        <f>Package_Services!E101</f>
        <v>0</v>
      </c>
      <c r="F99" s="494">
        <f>Package_Services!F101</f>
        <v>0</v>
      </c>
      <c r="G99" s="491">
        <f>Package_Services!G101</f>
        <v>0</v>
      </c>
      <c r="H99" s="494">
        <f>Package_Services!H101</f>
        <v>0</v>
      </c>
      <c r="I99" s="494">
        <f>Package_Services!I101</f>
        <v>0</v>
      </c>
      <c r="K99" s="92">
        <f t="shared" si="22"/>
        <v>0</v>
      </c>
      <c r="L99" s="92">
        <f t="shared" si="22"/>
        <v>0</v>
      </c>
      <c r="M99" s="92">
        <f t="shared" si="22"/>
        <v>0</v>
      </c>
      <c r="N99" s="92">
        <f t="shared" si="22"/>
        <v>0</v>
      </c>
      <c r="O99" s="92">
        <f t="shared" si="22"/>
        <v>0</v>
      </c>
      <c r="P99" s="92">
        <f t="shared" si="22"/>
        <v>0</v>
      </c>
      <c r="R99" s="495">
        <f t="shared" si="14"/>
        <v>0</v>
      </c>
      <c r="S99" s="495">
        <f t="shared" si="15"/>
        <v>0</v>
      </c>
      <c r="T99" s="495">
        <f t="shared" si="16"/>
        <v>0</v>
      </c>
      <c r="U99" s="495">
        <f t="shared" si="17"/>
        <v>0</v>
      </c>
      <c r="V99" s="495">
        <f t="shared" si="18"/>
        <v>0</v>
      </c>
      <c r="W99" s="495">
        <f t="shared" si="19"/>
        <v>0</v>
      </c>
      <c r="Y99" s="495">
        <f>IF(Coverage!$G$4="Actual",Coverage!$C102,Coverage!$G102*$R99)</f>
        <v>0</v>
      </c>
      <c r="Z99" s="496">
        <f>ROUNDUP(S99*Coverage!H102,0)</f>
        <v>0</v>
      </c>
      <c r="AA99" s="496">
        <f>ROUNDUP(T99*Coverage!I102,0)</f>
        <v>0</v>
      </c>
      <c r="AB99" s="496">
        <f>ROUNDUP(U99*Coverage!J102,0)</f>
        <v>0</v>
      </c>
      <c r="AC99" s="496">
        <f>ROUNDUP(V99*Coverage!K102,0)</f>
        <v>0</v>
      </c>
      <c r="AD99" s="496">
        <f>ROUNDUP(W99*Coverage!L102,0)</f>
        <v>0</v>
      </c>
    </row>
    <row r="100" spans="1:30">
      <c r="A100" s="1">
        <v>95</v>
      </c>
      <c r="B100" s="494">
        <f>Package_Services!B102</f>
        <v>0</v>
      </c>
      <c r="C100" s="494">
        <f>Package_Services!C102</f>
        <v>0</v>
      </c>
      <c r="D100" s="494">
        <f>Package_Services!D102</f>
        <v>0</v>
      </c>
      <c r="E100" s="494">
        <f>Package_Services!E102</f>
        <v>0</v>
      </c>
      <c r="F100" s="494">
        <f>Package_Services!F102</f>
        <v>0</v>
      </c>
      <c r="G100" s="491">
        <f>Package_Services!G102</f>
        <v>0</v>
      </c>
      <c r="H100" s="494">
        <f>Package_Services!H102</f>
        <v>0</v>
      </c>
      <c r="I100" s="494">
        <f>Package_Services!I102</f>
        <v>0</v>
      </c>
      <c r="K100" s="92">
        <f t="shared" si="22"/>
        <v>0</v>
      </c>
      <c r="L100" s="92">
        <f t="shared" si="22"/>
        <v>0</v>
      </c>
      <c r="M100" s="92">
        <f t="shared" si="22"/>
        <v>0</v>
      </c>
      <c r="N100" s="92">
        <f t="shared" si="22"/>
        <v>0</v>
      </c>
      <c r="O100" s="92">
        <f t="shared" si="22"/>
        <v>0</v>
      </c>
      <c r="P100" s="92">
        <f t="shared" si="22"/>
        <v>0</v>
      </c>
      <c r="R100" s="495">
        <f t="shared" si="14"/>
        <v>0</v>
      </c>
      <c r="S100" s="495">
        <f t="shared" si="15"/>
        <v>0</v>
      </c>
      <c r="T100" s="495">
        <f t="shared" si="16"/>
        <v>0</v>
      </c>
      <c r="U100" s="495">
        <f t="shared" si="17"/>
        <v>0</v>
      </c>
      <c r="V100" s="495">
        <f t="shared" si="18"/>
        <v>0</v>
      </c>
      <c r="W100" s="495">
        <f t="shared" si="19"/>
        <v>0</v>
      </c>
      <c r="Y100" s="495">
        <f>IF(Coverage!$G$4="Actual",Coverage!$C103,Coverage!$G103*$R100)</f>
        <v>0</v>
      </c>
      <c r="Z100" s="496">
        <f>ROUNDUP(S100*Coverage!H103,0)</f>
        <v>0</v>
      </c>
      <c r="AA100" s="496">
        <f>ROUNDUP(T100*Coverage!I103,0)</f>
        <v>0</v>
      </c>
      <c r="AB100" s="496">
        <f>ROUNDUP(U100*Coverage!J103,0)</f>
        <v>0</v>
      </c>
      <c r="AC100" s="496">
        <f>ROUNDUP(V100*Coverage!K103,0)</f>
        <v>0</v>
      </c>
      <c r="AD100" s="496">
        <f>ROUNDUP(W100*Coverage!L103,0)</f>
        <v>0</v>
      </c>
    </row>
    <row r="101" spans="1:30">
      <c r="A101" s="1">
        <v>96</v>
      </c>
      <c r="B101" s="494">
        <f>Package_Services!B103</f>
        <v>0</v>
      </c>
      <c r="C101" s="494">
        <f>Package_Services!C103</f>
        <v>0</v>
      </c>
      <c r="D101" s="494">
        <f>Package_Services!D103</f>
        <v>0</v>
      </c>
      <c r="E101" s="494">
        <f>Package_Services!E103</f>
        <v>0</v>
      </c>
      <c r="F101" s="494">
        <f>Package_Services!F103</f>
        <v>0</v>
      </c>
      <c r="G101" s="491">
        <f>Package_Services!G103</f>
        <v>0</v>
      </c>
      <c r="H101" s="494">
        <f>Package_Services!H103</f>
        <v>0</v>
      </c>
      <c r="I101" s="494">
        <f>Package_Services!I103</f>
        <v>0</v>
      </c>
      <c r="K101" s="92">
        <f t="shared" si="22"/>
        <v>0</v>
      </c>
      <c r="L101" s="92">
        <f t="shared" si="22"/>
        <v>0</v>
      </c>
      <c r="M101" s="92">
        <f t="shared" si="22"/>
        <v>0</v>
      </c>
      <c r="N101" s="92">
        <f t="shared" si="22"/>
        <v>0</v>
      </c>
      <c r="O101" s="92">
        <f t="shared" si="22"/>
        <v>0</v>
      </c>
      <c r="P101" s="92">
        <f t="shared" si="22"/>
        <v>0</v>
      </c>
      <c r="R101" s="495">
        <f t="shared" si="14"/>
        <v>0</v>
      </c>
      <c r="S101" s="495">
        <f t="shared" si="15"/>
        <v>0</v>
      </c>
      <c r="T101" s="495">
        <f t="shared" si="16"/>
        <v>0</v>
      </c>
      <c r="U101" s="495">
        <f t="shared" si="17"/>
        <v>0</v>
      </c>
      <c r="V101" s="495">
        <f t="shared" si="18"/>
        <v>0</v>
      </c>
      <c r="W101" s="495">
        <f t="shared" si="19"/>
        <v>0</v>
      </c>
      <c r="Y101" s="495">
        <f>IF(Coverage!$G$4="Actual",Coverage!$C104,Coverage!$G104*$R101)</f>
        <v>0</v>
      </c>
      <c r="Z101" s="496">
        <f>ROUNDUP(S101*Coverage!H104,0)</f>
        <v>0</v>
      </c>
      <c r="AA101" s="496">
        <f>ROUNDUP(T101*Coverage!I104,0)</f>
        <v>0</v>
      </c>
      <c r="AB101" s="496">
        <f>ROUNDUP(U101*Coverage!J104,0)</f>
        <v>0</v>
      </c>
      <c r="AC101" s="496">
        <f>ROUNDUP(V101*Coverage!K104,0)</f>
        <v>0</v>
      </c>
      <c r="AD101" s="496">
        <f>ROUNDUP(W101*Coverage!L104,0)</f>
        <v>0</v>
      </c>
    </row>
    <row r="102" spans="1:30">
      <c r="A102" s="1">
        <v>97</v>
      </c>
      <c r="B102" s="494">
        <f>Package_Services!B104</f>
        <v>0</v>
      </c>
      <c r="C102" s="494">
        <f>Package_Services!C104</f>
        <v>0</v>
      </c>
      <c r="D102" s="494">
        <f>Package_Services!D104</f>
        <v>0</v>
      </c>
      <c r="E102" s="494">
        <f>Package_Services!E104</f>
        <v>0</v>
      </c>
      <c r="F102" s="494">
        <f>Package_Services!F104</f>
        <v>0</v>
      </c>
      <c r="G102" s="491">
        <f>Package_Services!G104</f>
        <v>0</v>
      </c>
      <c r="H102" s="494">
        <f>Package_Services!H104</f>
        <v>0</v>
      </c>
      <c r="I102" s="494">
        <f>Package_Services!I104</f>
        <v>0</v>
      </c>
      <c r="K102" s="92">
        <f t="shared" si="22"/>
        <v>0</v>
      </c>
      <c r="L102" s="92">
        <f t="shared" si="22"/>
        <v>0</v>
      </c>
      <c r="M102" s="92">
        <f t="shared" si="22"/>
        <v>0</v>
      </c>
      <c r="N102" s="92">
        <f t="shared" si="22"/>
        <v>0</v>
      </c>
      <c r="O102" s="92">
        <f t="shared" si="22"/>
        <v>0</v>
      </c>
      <c r="P102" s="92">
        <f t="shared" si="22"/>
        <v>0</v>
      </c>
      <c r="R102" s="495">
        <f t="shared" si="14"/>
        <v>0</v>
      </c>
      <c r="S102" s="495">
        <f t="shared" si="15"/>
        <v>0</v>
      </c>
      <c r="T102" s="495">
        <f t="shared" si="16"/>
        <v>0</v>
      </c>
      <c r="U102" s="495">
        <f t="shared" si="17"/>
        <v>0</v>
      </c>
      <c r="V102" s="495">
        <f t="shared" si="18"/>
        <v>0</v>
      </c>
      <c r="W102" s="495">
        <f t="shared" si="19"/>
        <v>0</v>
      </c>
      <c r="Y102" s="495">
        <f>IF(Coverage!$G$4="Actual",Coverage!$C105,Coverage!$G105*$R102)</f>
        <v>0</v>
      </c>
      <c r="Z102" s="496">
        <f>ROUNDUP(S102*Coverage!H105,0)</f>
        <v>0</v>
      </c>
      <c r="AA102" s="496">
        <f>ROUNDUP(T102*Coverage!I105,0)</f>
        <v>0</v>
      </c>
      <c r="AB102" s="496">
        <f>ROUNDUP(U102*Coverage!J105,0)</f>
        <v>0</v>
      </c>
      <c r="AC102" s="496">
        <f>ROUNDUP(V102*Coverage!K105,0)</f>
        <v>0</v>
      </c>
      <c r="AD102" s="496">
        <f>ROUNDUP(W102*Coverage!L105,0)</f>
        <v>0</v>
      </c>
    </row>
    <row r="103" spans="1:30">
      <c r="A103" s="1">
        <v>98</v>
      </c>
      <c r="B103" s="494">
        <f>Package_Services!B105</f>
        <v>0</v>
      </c>
      <c r="C103" s="494">
        <f>Package_Services!C105</f>
        <v>0</v>
      </c>
      <c r="D103" s="494">
        <f>Package_Services!D105</f>
        <v>0</v>
      </c>
      <c r="E103" s="494">
        <f>Package_Services!E105</f>
        <v>0</v>
      </c>
      <c r="F103" s="494">
        <f>Package_Services!F105</f>
        <v>0</v>
      </c>
      <c r="G103" s="491">
        <f>Package_Services!G105</f>
        <v>0</v>
      </c>
      <c r="H103" s="494">
        <f>Package_Services!H105</f>
        <v>0</v>
      </c>
      <c r="I103" s="494">
        <f>Package_Services!I105</f>
        <v>0</v>
      </c>
      <c r="K103" s="92">
        <f t="shared" si="22"/>
        <v>0</v>
      </c>
      <c r="L103" s="92">
        <f t="shared" si="22"/>
        <v>0</v>
      </c>
      <c r="M103" s="92">
        <f t="shared" si="22"/>
        <v>0</v>
      </c>
      <c r="N103" s="92">
        <f t="shared" si="22"/>
        <v>0</v>
      </c>
      <c r="O103" s="92">
        <f t="shared" si="22"/>
        <v>0</v>
      </c>
      <c r="P103" s="92">
        <f t="shared" si="22"/>
        <v>0</v>
      </c>
      <c r="R103" s="495">
        <f t="shared" si="14"/>
        <v>0</v>
      </c>
      <c r="S103" s="495">
        <f t="shared" si="15"/>
        <v>0</v>
      </c>
      <c r="T103" s="495">
        <f t="shared" si="16"/>
        <v>0</v>
      </c>
      <c r="U103" s="495">
        <f t="shared" si="17"/>
        <v>0</v>
      </c>
      <c r="V103" s="495">
        <f t="shared" si="18"/>
        <v>0</v>
      </c>
      <c r="W103" s="495">
        <f t="shared" si="19"/>
        <v>0</v>
      </c>
      <c r="Y103" s="495">
        <f>IF(Coverage!$G$4="Actual",Coverage!$C106,Coverage!$G106*$R103)</f>
        <v>0</v>
      </c>
      <c r="Z103" s="496">
        <f>ROUNDUP(S103*Coverage!H106,0)</f>
        <v>0</v>
      </c>
      <c r="AA103" s="496">
        <f>ROUNDUP(T103*Coverage!I106,0)</f>
        <v>0</v>
      </c>
      <c r="AB103" s="496">
        <f>ROUNDUP(U103*Coverage!J106,0)</f>
        <v>0</v>
      </c>
      <c r="AC103" s="496">
        <f>ROUNDUP(V103*Coverage!K106,0)</f>
        <v>0</v>
      </c>
      <c r="AD103" s="496">
        <f>ROUNDUP(W103*Coverage!L106,0)</f>
        <v>0</v>
      </c>
    </row>
    <row r="104" spans="1:30">
      <c r="A104" s="1">
        <v>99</v>
      </c>
      <c r="B104" s="494">
        <f>Package_Services!B106</f>
        <v>0</v>
      </c>
      <c r="C104" s="494">
        <f>Package_Services!C106</f>
        <v>0</v>
      </c>
      <c r="D104" s="494">
        <f>Package_Services!D106</f>
        <v>0</v>
      </c>
      <c r="E104" s="494">
        <f>Package_Services!E106</f>
        <v>0</v>
      </c>
      <c r="F104" s="494">
        <f>Package_Services!F106</f>
        <v>0</v>
      </c>
      <c r="G104" s="491">
        <f>Package_Services!G106</f>
        <v>0</v>
      </c>
      <c r="H104" s="494">
        <f>Package_Services!H106</f>
        <v>0</v>
      </c>
      <c r="I104" s="494">
        <f>Package_Services!I106</f>
        <v>0</v>
      </c>
      <c r="K104" s="92">
        <f t="shared" si="22"/>
        <v>0</v>
      </c>
      <c r="L104" s="92">
        <f t="shared" si="22"/>
        <v>0</v>
      </c>
      <c r="M104" s="92">
        <f t="shared" si="22"/>
        <v>0</v>
      </c>
      <c r="N104" s="92">
        <f t="shared" si="22"/>
        <v>0</v>
      </c>
      <c r="O104" s="92">
        <f t="shared" si="22"/>
        <v>0</v>
      </c>
      <c r="P104" s="92">
        <f t="shared" si="22"/>
        <v>0</v>
      </c>
      <c r="R104" s="495">
        <f t="shared" si="14"/>
        <v>0</v>
      </c>
      <c r="S104" s="495">
        <f t="shared" si="15"/>
        <v>0</v>
      </c>
      <c r="T104" s="495">
        <f t="shared" si="16"/>
        <v>0</v>
      </c>
      <c r="U104" s="495">
        <f t="shared" si="17"/>
        <v>0</v>
      </c>
      <c r="V104" s="495">
        <f t="shared" si="18"/>
        <v>0</v>
      </c>
      <c r="W104" s="495">
        <f t="shared" si="19"/>
        <v>0</v>
      </c>
      <c r="Y104" s="495">
        <f>IF(Coverage!$G$4="Actual",Coverage!$C107,Coverage!$G107*$R104)</f>
        <v>0</v>
      </c>
      <c r="Z104" s="496">
        <f>ROUNDUP(S104*Coverage!H107,0)</f>
        <v>0</v>
      </c>
      <c r="AA104" s="496">
        <f>ROUNDUP(T104*Coverage!I107,0)</f>
        <v>0</v>
      </c>
      <c r="AB104" s="496">
        <f>ROUNDUP(U104*Coverage!J107,0)</f>
        <v>0</v>
      </c>
      <c r="AC104" s="496">
        <f>ROUNDUP(V104*Coverage!K107,0)</f>
        <v>0</v>
      </c>
      <c r="AD104" s="496">
        <f>ROUNDUP(W104*Coverage!L107,0)</f>
        <v>0</v>
      </c>
    </row>
    <row r="105" spans="1:30">
      <c r="A105" s="1">
        <v>100</v>
      </c>
      <c r="B105" s="494">
        <f>Package_Services!B107</f>
        <v>0</v>
      </c>
      <c r="C105" s="494">
        <f>Package_Services!C107</f>
        <v>0</v>
      </c>
      <c r="D105" s="494">
        <f>Package_Services!D107</f>
        <v>0</v>
      </c>
      <c r="E105" s="494">
        <f>Package_Services!E107</f>
        <v>0</v>
      </c>
      <c r="F105" s="494">
        <f>Package_Services!F107</f>
        <v>0</v>
      </c>
      <c r="G105" s="491">
        <f>Package_Services!G107</f>
        <v>0</v>
      </c>
      <c r="H105" s="494">
        <f>Package_Services!H107</f>
        <v>0</v>
      </c>
      <c r="I105" s="494">
        <f>Package_Services!I107</f>
        <v>0</v>
      </c>
      <c r="K105" s="92">
        <f t="shared" si="22"/>
        <v>0</v>
      </c>
      <c r="L105" s="92">
        <f t="shared" si="22"/>
        <v>0</v>
      </c>
      <c r="M105" s="92">
        <f t="shared" si="22"/>
        <v>0</v>
      </c>
      <c r="N105" s="92">
        <f t="shared" si="22"/>
        <v>0</v>
      </c>
      <c r="O105" s="92">
        <f t="shared" si="22"/>
        <v>0</v>
      </c>
      <c r="P105" s="92">
        <f t="shared" si="22"/>
        <v>0</v>
      </c>
      <c r="R105" s="495">
        <f t="shared" si="14"/>
        <v>0</v>
      </c>
      <c r="S105" s="495">
        <f t="shared" si="15"/>
        <v>0</v>
      </c>
      <c r="T105" s="495">
        <f t="shared" si="16"/>
        <v>0</v>
      </c>
      <c r="U105" s="495">
        <f t="shared" si="17"/>
        <v>0</v>
      </c>
      <c r="V105" s="495">
        <f t="shared" si="18"/>
        <v>0</v>
      </c>
      <c r="W105" s="495">
        <f t="shared" si="19"/>
        <v>0</v>
      </c>
      <c r="Y105" s="495">
        <f>IF(Coverage!$G$4="Actual",Coverage!$C108,Coverage!$G108*$R105)</f>
        <v>0</v>
      </c>
      <c r="Z105" s="496">
        <f>ROUNDUP(S105*Coverage!H108,0)</f>
        <v>0</v>
      </c>
      <c r="AA105" s="496">
        <f>ROUNDUP(T105*Coverage!I108,0)</f>
        <v>0</v>
      </c>
      <c r="AB105" s="496">
        <f>ROUNDUP(U105*Coverage!J108,0)</f>
        <v>0</v>
      </c>
      <c r="AC105" s="496">
        <f>ROUNDUP(V105*Coverage!K108,0)</f>
        <v>0</v>
      </c>
      <c r="AD105" s="496">
        <f>ROUNDUP(W105*Coverage!L108,0)</f>
        <v>0</v>
      </c>
    </row>
    <row r="107" spans="1:30">
      <c r="C107" s="16" t="s">
        <v>1368</v>
      </c>
      <c r="R107" s="495">
        <f t="shared" ref="R107:W107" si="23">SUM(R6:R105)</f>
        <v>0</v>
      </c>
      <c r="S107" s="495">
        <f t="shared" si="23"/>
        <v>0</v>
      </c>
      <c r="T107" s="495">
        <f t="shared" si="23"/>
        <v>0</v>
      </c>
      <c r="U107" s="495">
        <f t="shared" si="23"/>
        <v>0</v>
      </c>
      <c r="V107" s="495">
        <f t="shared" si="23"/>
        <v>0</v>
      </c>
      <c r="W107" s="495">
        <f t="shared" si="23"/>
        <v>0</v>
      </c>
      <c r="Y107" s="495">
        <f t="shared" ref="Y107:AD107" si="24">SUM(Y6:Y105)</f>
        <v>0</v>
      </c>
      <c r="Z107" s="495">
        <f t="shared" si="24"/>
        <v>0</v>
      </c>
      <c r="AA107" s="495">
        <f t="shared" si="24"/>
        <v>0</v>
      </c>
      <c r="AB107" s="495">
        <f t="shared" si="24"/>
        <v>0</v>
      </c>
      <c r="AC107" s="495">
        <f t="shared" si="24"/>
        <v>0</v>
      </c>
      <c r="AD107" s="495">
        <f t="shared" si="24"/>
        <v>0</v>
      </c>
    </row>
    <row r="113" spans="4:6" s="90" customFormat="1">
      <c r="D113" s="492"/>
      <c r="F113" s="3"/>
    </row>
    <row r="114" spans="4:6" s="90" customFormat="1">
      <c r="D114" s="492"/>
      <c r="F114" s="3"/>
    </row>
    <row r="115" spans="4:6" s="90" customFormat="1">
      <c r="D115" s="492"/>
      <c r="F115" s="3"/>
    </row>
    <row r="116" spans="4:6" s="90" customFormat="1">
      <c r="D116" s="492"/>
      <c r="F116" s="3"/>
    </row>
    <row r="117" spans="4:6" s="90" customFormat="1">
      <c r="D117" s="492"/>
      <c r="F117" s="3"/>
    </row>
    <row r="118" spans="4:6" s="90" customFormat="1">
      <c r="D118" s="492"/>
      <c r="F118" s="3"/>
    </row>
    <row r="119" spans="4:6" s="90" customFormat="1">
      <c r="D119" s="492"/>
      <c r="F119" s="3"/>
    </row>
    <row r="120" spans="4:6" s="90" customFormat="1">
      <c r="D120" s="492"/>
      <c r="F120" s="3"/>
    </row>
    <row r="133" spans="3:6" s="90" customFormat="1">
      <c r="C133" s="3"/>
      <c r="F133" s="3"/>
    </row>
    <row r="134" spans="3:6" s="90" customFormat="1">
      <c r="C134" s="3"/>
      <c r="F134" s="3"/>
    </row>
    <row r="135" spans="3:6" s="90" customFormat="1">
      <c r="C135" s="3"/>
      <c r="F135" s="3"/>
    </row>
    <row r="136" spans="3:6" s="90" customFormat="1">
      <c r="C136" s="3"/>
      <c r="F136" s="3"/>
    </row>
    <row r="137" spans="3:6" s="90" customFormat="1">
      <c r="C137" s="3"/>
      <c r="F137" s="3"/>
    </row>
    <row r="138" spans="3:6" s="90" customFormat="1">
      <c r="C138" s="3"/>
      <c r="F138" s="3"/>
    </row>
    <row r="139" spans="3:6" s="90" customFormat="1">
      <c r="C139" s="3"/>
      <c r="F139" s="3"/>
    </row>
    <row r="140" spans="3:6" s="90" customFormat="1">
      <c r="C140" s="3"/>
      <c r="F140" s="3"/>
    </row>
    <row r="141" spans="3:6" s="90" customFormat="1">
      <c r="C141" s="3"/>
      <c r="F141" s="3"/>
    </row>
    <row r="142" spans="3:6" s="90" customFormat="1">
      <c r="C142" s="3"/>
      <c r="F142" s="3"/>
    </row>
    <row r="143" spans="3:6" s="90" customFormat="1">
      <c r="C143" s="3"/>
      <c r="F143" s="3"/>
    </row>
    <row r="144" spans="3:6" s="90" customFormat="1">
      <c r="C144" s="3"/>
      <c r="F144" s="3"/>
    </row>
    <row r="145" spans="3:6" s="90" customFormat="1">
      <c r="C145" s="3"/>
      <c r="F145" s="3"/>
    </row>
    <row r="146" spans="3:6" s="90" customFormat="1">
      <c r="C146" s="3"/>
      <c r="F146" s="3"/>
    </row>
    <row r="147" spans="3:6" s="90" customFormat="1">
      <c r="C147" s="3"/>
      <c r="F147" s="3"/>
    </row>
    <row r="148" spans="3:6" s="90" customFormat="1">
      <c r="C148" s="3"/>
      <c r="F148" s="3"/>
    </row>
    <row r="149" spans="3:6" s="90" customFormat="1">
      <c r="C149" s="3"/>
      <c r="F149" s="3"/>
    </row>
    <row r="150" spans="3:6" s="90" customFormat="1">
      <c r="C150" s="3"/>
      <c r="F150" s="3"/>
    </row>
    <row r="151" spans="3:6" s="90" customFormat="1">
      <c r="C151" s="3"/>
      <c r="F151" s="3"/>
    </row>
    <row r="152" spans="3:6" s="90" customFormat="1">
      <c r="C152" s="3"/>
      <c r="F152" s="3"/>
    </row>
    <row r="153" spans="3:6" s="90" customFormat="1">
      <c r="C153" s="3"/>
      <c r="F153" s="3"/>
    </row>
    <row r="154" spans="3:6" s="90" customFormat="1">
      <c r="C154" s="3"/>
      <c r="F154" s="3"/>
    </row>
    <row r="155" spans="3:6" s="90" customFormat="1">
      <c r="C155" s="3"/>
      <c r="F155" s="3"/>
    </row>
    <row r="156" spans="3:6" s="90" customFormat="1">
      <c r="C156" s="3"/>
      <c r="F156" s="3"/>
    </row>
    <row r="157" spans="3:6" s="90" customFormat="1">
      <c r="C157" s="3"/>
      <c r="F157" s="3"/>
    </row>
    <row r="158" spans="3:6" s="90" customFormat="1">
      <c r="C158" s="3"/>
      <c r="F158" s="3"/>
    </row>
    <row r="159" spans="3:6" s="90" customFormat="1">
      <c r="C159" s="3"/>
      <c r="F159" s="3"/>
    </row>
    <row r="160" spans="3:6" s="90" customFormat="1">
      <c r="C160" s="3"/>
      <c r="F160" s="3"/>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L118"/>
  <sheetViews>
    <sheetView zoomScale="90" zoomScaleNormal="90" workbookViewId="0">
      <pane ySplit="4" topLeftCell="A83" activePane="bottomLeft" state="frozen"/>
      <selection activeCell="E12" sqref="E12"/>
      <selection pane="bottomLeft" activeCell="E12" sqref="E12"/>
    </sheetView>
  </sheetViews>
  <sheetFormatPr baseColWidth="10" defaultColWidth="8.77734375" defaultRowHeight="14.4"/>
  <cols>
    <col min="1" max="1" width="6.109375" style="3" customWidth="1"/>
    <col min="2" max="2" width="50.21875" style="3" customWidth="1"/>
    <col min="3" max="3" width="11.6640625" style="3" bestFit="1" customWidth="1"/>
    <col min="4" max="6" width="12.77734375" style="3" bestFit="1" customWidth="1"/>
    <col min="7" max="8" width="14.33203125" style="3" bestFit="1" customWidth="1"/>
    <col min="9" max="9" width="8.77734375" style="3"/>
    <col min="10" max="10" width="12.33203125" style="3" bestFit="1" customWidth="1"/>
    <col min="11" max="16384" width="8.77734375" style="3"/>
  </cols>
  <sheetData>
    <row r="1" spans="1:12" s="419" customFormat="1" ht="24" customHeight="1">
      <c r="A1" s="314" t="s">
        <v>1456</v>
      </c>
      <c r="J1" s="487"/>
      <c r="K1" s="488"/>
      <c r="L1" s="488"/>
    </row>
    <row r="2" spans="1:12" s="453" customFormat="1" ht="18">
      <c r="A2" s="50" t="s">
        <v>598</v>
      </c>
      <c r="J2" s="489"/>
      <c r="K2" s="490"/>
      <c r="L2" s="490"/>
    </row>
    <row r="3" spans="1:12" ht="15" thickBot="1"/>
    <row r="4" spans="1:12" ht="15" thickBot="1">
      <c r="C4" s="624">
        <f>baseline_year</f>
        <v>0</v>
      </c>
      <c r="D4" s="625">
        <f>baseline_year+1</f>
        <v>1</v>
      </c>
      <c r="E4" s="625">
        <f>D4+1</f>
        <v>2</v>
      </c>
      <c r="F4" s="625">
        <f>E4+1</f>
        <v>3</v>
      </c>
      <c r="G4" s="625">
        <f>F4+1</f>
        <v>4</v>
      </c>
      <c r="H4" s="626">
        <f>G4+1</f>
        <v>5</v>
      </c>
    </row>
    <row r="5" spans="1:12" ht="15" thickBot="1">
      <c r="C5" s="646"/>
      <c r="D5" s="647"/>
      <c r="E5" s="647"/>
      <c r="F5" s="647"/>
      <c r="G5" s="647"/>
      <c r="H5" s="647"/>
    </row>
    <row r="6" spans="1:12" ht="15" thickBot="1">
      <c r="B6" s="698">
        <f>_rt1</f>
        <v>0</v>
      </c>
      <c r="C6" s="945"/>
      <c r="D6" s="731"/>
      <c r="E6" s="731"/>
      <c r="F6" s="731"/>
      <c r="G6" s="731"/>
      <c r="H6" s="946"/>
    </row>
    <row r="7" spans="1:12">
      <c r="B7" s="947" t="s">
        <v>1162</v>
      </c>
      <c r="C7" s="973">
        <f>Demography!C$10</f>
        <v>0</v>
      </c>
      <c r="D7" s="973">
        <f>Demography!D$10</f>
        <v>0</v>
      </c>
      <c r="E7" s="973">
        <f>Demography!E$10</f>
        <v>0</v>
      </c>
      <c r="F7" s="973">
        <f>Demography!F$10</f>
        <v>0</v>
      </c>
      <c r="G7" s="973">
        <f>Demography!G$10</f>
        <v>0</v>
      </c>
      <c r="H7" s="974">
        <f>Demography!H$10</f>
        <v>0</v>
      </c>
    </row>
    <row r="8" spans="1:12">
      <c r="B8" s="947" t="s">
        <v>1390</v>
      </c>
      <c r="C8" s="973">
        <f>Staff_Costs!E23</f>
        <v>0</v>
      </c>
      <c r="D8" s="973">
        <f>Staff_Costs!F23</f>
        <v>0</v>
      </c>
      <c r="E8" s="973">
        <f>Staff_Costs!G23</f>
        <v>0</v>
      </c>
      <c r="F8" s="973">
        <f>Staff_Costs!H23</f>
        <v>0</v>
      </c>
      <c r="G8" s="973">
        <f>Staff_Costs!I23</f>
        <v>0</v>
      </c>
      <c r="H8" s="974">
        <f>Staff_Costs!J23</f>
        <v>0</v>
      </c>
    </row>
    <row r="9" spans="1:12">
      <c r="B9" s="753" t="s">
        <v>1163</v>
      </c>
      <c r="C9" s="975">
        <f>IFERROR(IF($B$6=0,0,ROUNDUP(C7/Staff_Costs!$H$9,0)),0)</f>
        <v>0</v>
      </c>
      <c r="D9" s="975">
        <f>IFERROR(IF($B$6=0,0,ROUNDUP(D7/Staff_Costs!$H$9,0)),0)</f>
        <v>0</v>
      </c>
      <c r="E9" s="975">
        <f>IFERROR(IF($B$6=0,0,ROUNDUP(E7/Staff_Costs!$H$9,0)),0)</f>
        <v>0</v>
      </c>
      <c r="F9" s="975">
        <f>IFERROR(IF($B$6=0,0,ROUNDUP(F7/Staff_Costs!$H$9,0)),0)</f>
        <v>0</v>
      </c>
      <c r="G9" s="975">
        <f>IFERROR(IF($B$6=0,0,ROUNDUP(G7/Staff_Costs!$H$9,0)),0)</f>
        <v>0</v>
      </c>
      <c r="H9" s="976">
        <f>IFERROR(IF($B$6=0,0,ROUNDUP(H7/Staff_Costs!$H$9,0)),0)</f>
        <v>0</v>
      </c>
    </row>
    <row r="10" spans="1:12">
      <c r="B10" s="947" t="str">
        <f>"Total "&amp;_rt1&amp;" required"</f>
        <v>Total  required</v>
      </c>
      <c r="C10" s="973">
        <f>IF($B6=0,0,IF(Staff_Costs!$I$9="Manual Entry",C8,IF(Staff_Costs!$I$9="RT per population",C9,"")))</f>
        <v>0</v>
      </c>
      <c r="D10" s="973">
        <f>IF($B6=0,0,IF(Staff_Costs!$I$9="Manual Entry",D8,IF(Staff_Costs!$I$9="RT per population",D9,"")))</f>
        <v>0</v>
      </c>
      <c r="E10" s="973">
        <f>IF($B6=0,0,IF(Staff_Costs!$I$9="Manual Entry",E8,IF(Staff_Costs!$I$9="RT per population",E9,"")))</f>
        <v>0</v>
      </c>
      <c r="F10" s="973">
        <f>IF($B6=0,0,IF(Staff_Costs!$I$9="Manual Entry",F8,IF(Staff_Costs!$I$9="RT per population",F9,"")))</f>
        <v>0</v>
      </c>
      <c r="G10" s="973">
        <f>IF($B6=0,0,IF(Staff_Costs!$I$9="Manual Entry",G8,IF(Staff_Costs!$I$9="RT per population",G9,"")))</f>
        <v>0</v>
      </c>
      <c r="H10" s="977">
        <f>IF($B6=0,0,IF(Staff_Costs!$I$9="Manual Entry",H8,IF(Staff_Costs!$I$9="RT per population",H9,"")))</f>
        <v>0</v>
      </c>
      <c r="J10" s="3">
        <f>IF($B6=0,0,IF(Staff_Costs!$D$16="Manual Entry",#REF!,IF(Staff_Costs!$D$16="CHW per population",J8,"")))</f>
        <v>0</v>
      </c>
    </row>
    <row r="11" spans="1:12">
      <c r="B11" s="746" t="str">
        <f>_rt1&amp;" Existing at Start of Year"</f>
        <v xml:space="preserve"> Existing at Start of Year</v>
      </c>
      <c r="C11" s="973">
        <f>Staff_Costs!F9</f>
        <v>0</v>
      </c>
      <c r="D11" s="973">
        <f>C14</f>
        <v>0</v>
      </c>
      <c r="E11" s="973">
        <f>D14</f>
        <v>0</v>
      </c>
      <c r="F11" s="973">
        <f>E14</f>
        <v>0</v>
      </c>
      <c r="G11" s="973">
        <f>F14</f>
        <v>0</v>
      </c>
      <c r="H11" s="974">
        <f>G14</f>
        <v>0</v>
      </c>
    </row>
    <row r="12" spans="1:12">
      <c r="B12" s="746" t="str">
        <f>_rt1&amp;" posts required at Start of Year"</f>
        <v xml:space="preserve"> posts required at Start of Year</v>
      </c>
      <c r="C12" s="973">
        <f t="shared" ref="C12:H12" si="0">IF(C10-C11&lt;0,0,C10-C11)</f>
        <v>0</v>
      </c>
      <c r="D12" s="973">
        <f t="shared" si="0"/>
        <v>0</v>
      </c>
      <c r="E12" s="973">
        <f t="shared" si="0"/>
        <v>0</v>
      </c>
      <c r="F12" s="973">
        <f t="shared" si="0"/>
        <v>0</v>
      </c>
      <c r="G12" s="973">
        <f t="shared" si="0"/>
        <v>0</v>
      </c>
      <c r="H12" s="974">
        <f t="shared" si="0"/>
        <v>0</v>
      </c>
      <c r="J12" s="948"/>
    </row>
    <row r="13" spans="1:12">
      <c r="B13" s="746" t="str">
        <f>_rt1&amp;" Lost to Attrition"</f>
        <v xml:space="preserve"> Lost to Attrition</v>
      </c>
      <c r="C13" s="973">
        <f>ROUNDUP(C10*Staff_Costs!$G$9,0)</f>
        <v>0</v>
      </c>
      <c r="D13" s="973">
        <f>ROUNDUP(D10*Staff_Costs!$G$9,0)</f>
        <v>0</v>
      </c>
      <c r="E13" s="973">
        <f>ROUNDUP(E10*Staff_Costs!$G$9,0)</f>
        <v>0</v>
      </c>
      <c r="F13" s="973">
        <f>ROUNDUP(F10*Staff_Costs!$G$9,0)</f>
        <v>0</v>
      </c>
      <c r="G13" s="973">
        <f>ROUNDUP(G10*Staff_Costs!$G$9,0)</f>
        <v>0</v>
      </c>
      <c r="H13" s="974">
        <f>ROUNDUP(H10*Staff_Costs!$G$9,0)</f>
        <v>0</v>
      </c>
    </row>
    <row r="14" spans="1:12">
      <c r="B14" s="753" t="str">
        <f>_rt1&amp;" at End of Year"</f>
        <v xml:space="preserve"> at End of Year</v>
      </c>
      <c r="C14" s="975">
        <f t="shared" ref="C14:H14" si="1">C10-C13</f>
        <v>0</v>
      </c>
      <c r="D14" s="975">
        <f t="shared" si="1"/>
        <v>0</v>
      </c>
      <c r="E14" s="975">
        <f t="shared" si="1"/>
        <v>0</v>
      </c>
      <c r="F14" s="975">
        <f t="shared" si="1"/>
        <v>0</v>
      </c>
      <c r="G14" s="975">
        <f t="shared" si="1"/>
        <v>0</v>
      </c>
      <c r="H14" s="976">
        <f t="shared" si="1"/>
        <v>0</v>
      </c>
    </row>
    <row r="16" spans="1:12" ht="15" thickBot="1"/>
    <row r="17" spans="2:8" ht="15" thickBot="1">
      <c r="B17" s="698">
        <f>_rt2</f>
        <v>0</v>
      </c>
      <c r="C17" s="945"/>
      <c r="D17" s="731"/>
      <c r="E17" s="731"/>
      <c r="F17" s="731"/>
      <c r="G17" s="731"/>
      <c r="H17" s="946"/>
    </row>
    <row r="18" spans="2:8">
      <c r="B18" s="947" t="s">
        <v>1162</v>
      </c>
      <c r="C18" s="978">
        <f>Demography!C$10</f>
        <v>0</v>
      </c>
      <c r="D18" s="978">
        <f>Demography!D$10</f>
        <v>0</v>
      </c>
      <c r="E18" s="978">
        <f>Demography!E$10</f>
        <v>0</v>
      </c>
      <c r="F18" s="978">
        <f>Demography!F$10</f>
        <v>0</v>
      </c>
      <c r="G18" s="978">
        <f>Demography!G$10</f>
        <v>0</v>
      </c>
      <c r="H18" s="979">
        <f>Demography!H$10</f>
        <v>0</v>
      </c>
    </row>
    <row r="19" spans="2:8">
      <c r="B19" s="947" t="s">
        <v>1390</v>
      </c>
      <c r="C19" s="961">
        <f>Staff_Costs!E24</f>
        <v>0</v>
      </c>
      <c r="D19" s="961">
        <f>Staff_Costs!F24</f>
        <v>0</v>
      </c>
      <c r="E19" s="961">
        <f>Staff_Costs!G24</f>
        <v>0</v>
      </c>
      <c r="F19" s="961">
        <f>Staff_Costs!H24</f>
        <v>0</v>
      </c>
      <c r="G19" s="961">
        <f>Staff_Costs!I24</f>
        <v>0</v>
      </c>
      <c r="H19" s="962">
        <f>Staff_Costs!J24</f>
        <v>0</v>
      </c>
    </row>
    <row r="20" spans="2:8">
      <c r="B20" s="753" t="s">
        <v>1163</v>
      </c>
      <c r="C20" s="963">
        <f>IFERROR(IF($B$17=0,0,ROUNDUP(C18/Staff_Costs!$H$10,0)),0)</f>
        <v>0</v>
      </c>
      <c r="D20" s="963">
        <f>IFERROR(IF($B$17=0,0,ROUNDUP(D18/Staff_Costs!$H$9,0)),0)</f>
        <v>0</v>
      </c>
      <c r="E20" s="963">
        <f>IFERROR(IF($B$17=0,0,ROUNDUP(E18/Staff_Costs!$H$9,0)),0)</f>
        <v>0</v>
      </c>
      <c r="F20" s="963">
        <f>IFERROR(IF($B$17=0,0,ROUNDUP(F18/Staff_Costs!$H$9,0)),0)</f>
        <v>0</v>
      </c>
      <c r="G20" s="963">
        <f>IFERROR(IF($B$17=0,0,ROUNDUP(G18/Staff_Costs!$H$9,0)),0)</f>
        <v>0</v>
      </c>
      <c r="H20" s="964">
        <f>IFERROR(IF($B$17=0,0,ROUNDUP(H18/Staff_Costs!$H$9,0)),0)</f>
        <v>0</v>
      </c>
    </row>
    <row r="21" spans="2:8">
      <c r="B21" s="947" t="str">
        <f>"Total "&amp;_rt2&amp;" required"</f>
        <v>Total  required</v>
      </c>
      <c r="C21" s="961">
        <f>IF($B17=0,0,IF(Staff_Costs!$I$10="Manual Entry",C19,IF(Staff_Costs!$I$10="RT per population",C20,"")))</f>
        <v>0</v>
      </c>
      <c r="D21" s="961">
        <f>IF($B17=0,0,IF(Staff_Costs!$I$10="Manual Entry",D19,IF(Staff_Costs!$I$10="RT per population",D20,"")))</f>
        <v>0</v>
      </c>
      <c r="E21" s="961">
        <f>IF($B17=0,0,IF(Staff_Costs!$I$10="Manual Entry",E19,IF(Staff_Costs!$I$10="RT per population",E20,"")))</f>
        <v>0</v>
      </c>
      <c r="F21" s="961">
        <f>IF($B17=0,0,IF(Staff_Costs!$I$10="Manual Entry",F19,IF(Staff_Costs!$I$10="RT per population",F20,"")))</f>
        <v>0</v>
      </c>
      <c r="G21" s="961">
        <f>IF($B17=0,0,IF(Staff_Costs!$I$10="Manual Entry",G19,IF(Staff_Costs!$I$10="RT per population",G20,"")))</f>
        <v>0</v>
      </c>
      <c r="H21" s="962">
        <f>IF($B17=0,0,IF(Staff_Costs!$I$10="Manual Entry",H19,IF(Staff_Costs!$I$10="RT per population",H20,"")))</f>
        <v>0</v>
      </c>
    </row>
    <row r="22" spans="2:8">
      <c r="B22" s="746" t="str">
        <f>_rt2&amp;" Existing at Start of Year"</f>
        <v xml:space="preserve"> Existing at Start of Year</v>
      </c>
      <c r="C22" s="961">
        <f>Staff_Costs!F10</f>
        <v>0</v>
      </c>
      <c r="D22" s="961">
        <f>C25</f>
        <v>0</v>
      </c>
      <c r="E22" s="961">
        <f>D25</f>
        <v>0</v>
      </c>
      <c r="F22" s="961">
        <f>E25</f>
        <v>0</v>
      </c>
      <c r="G22" s="961">
        <f>F25</f>
        <v>0</v>
      </c>
      <c r="H22" s="962">
        <f>G25</f>
        <v>0</v>
      </c>
    </row>
    <row r="23" spans="2:8">
      <c r="B23" s="746" t="str">
        <f>_rt2&amp;" posts required at Start of Year"</f>
        <v xml:space="preserve"> posts required at Start of Year</v>
      </c>
      <c r="C23" s="961">
        <f t="shared" ref="C23:H23" si="2">IF(C21-C22&lt;0,0,C21-C22)</f>
        <v>0</v>
      </c>
      <c r="D23" s="961">
        <f t="shared" si="2"/>
        <v>0</v>
      </c>
      <c r="E23" s="961">
        <f t="shared" si="2"/>
        <v>0</v>
      </c>
      <c r="F23" s="961">
        <f t="shared" si="2"/>
        <v>0</v>
      </c>
      <c r="G23" s="961">
        <f t="shared" si="2"/>
        <v>0</v>
      </c>
      <c r="H23" s="962">
        <f t="shared" si="2"/>
        <v>0</v>
      </c>
    </row>
    <row r="24" spans="2:8">
      <c r="B24" s="746" t="str">
        <f>_rt2&amp;" Lost to Attrition"</f>
        <v xml:space="preserve"> Lost to Attrition</v>
      </c>
      <c r="C24" s="961">
        <f>ROUNDUP(C21*Staff_Costs!$G$10,0)</f>
        <v>0</v>
      </c>
      <c r="D24" s="961">
        <f>ROUNDUP(D21*Staff_Costs!$G$9,0)</f>
        <v>0</v>
      </c>
      <c r="E24" s="961">
        <f>ROUNDUP(E21*Staff_Costs!$G$9,0)</f>
        <v>0</v>
      </c>
      <c r="F24" s="961">
        <f>ROUNDUP(F21*Staff_Costs!$G$9,0)</f>
        <v>0</v>
      </c>
      <c r="G24" s="961">
        <f>ROUNDUP(G21*Staff_Costs!$G$9,0)</f>
        <v>0</v>
      </c>
      <c r="H24" s="962">
        <f>ROUNDUP(H21*Staff_Costs!$G$9,0)</f>
        <v>0</v>
      </c>
    </row>
    <row r="25" spans="2:8">
      <c r="B25" s="753" t="str">
        <f>_rt2&amp;" at End of Year"</f>
        <v xml:space="preserve"> at End of Year</v>
      </c>
      <c r="C25" s="963">
        <f t="shared" ref="C25:H25" si="3">C21-C24</f>
        <v>0</v>
      </c>
      <c r="D25" s="963">
        <f t="shared" si="3"/>
        <v>0</v>
      </c>
      <c r="E25" s="963">
        <f t="shared" si="3"/>
        <v>0</v>
      </c>
      <c r="F25" s="963">
        <f t="shared" si="3"/>
        <v>0</v>
      </c>
      <c r="G25" s="963">
        <f t="shared" si="3"/>
        <v>0</v>
      </c>
      <c r="H25" s="964">
        <f t="shared" si="3"/>
        <v>0</v>
      </c>
    </row>
    <row r="26" spans="2:8">
      <c r="C26" s="495"/>
      <c r="D26" s="495"/>
      <c r="E26" s="495"/>
      <c r="F26" s="495"/>
      <c r="G26" s="495"/>
      <c r="H26" s="495"/>
    </row>
    <row r="27" spans="2:8">
      <c r="C27" s="495"/>
      <c r="D27" s="495"/>
      <c r="E27" s="495"/>
      <c r="F27" s="495"/>
      <c r="G27" s="495"/>
      <c r="H27" s="495"/>
    </row>
    <row r="28" spans="2:8">
      <c r="B28" s="610">
        <f>_rt3</f>
        <v>0</v>
      </c>
      <c r="C28" s="980"/>
      <c r="D28" s="980"/>
      <c r="E28" s="980"/>
      <c r="F28" s="980"/>
      <c r="G28" s="980"/>
      <c r="H28" s="981"/>
    </row>
    <row r="29" spans="2:8">
      <c r="B29" s="949" t="s">
        <v>1162</v>
      </c>
      <c r="C29" s="982">
        <f>Demography!C$10</f>
        <v>0</v>
      </c>
      <c r="D29" s="982">
        <f>Demography!D$10</f>
        <v>0</v>
      </c>
      <c r="E29" s="982">
        <f>Demography!E$10</f>
        <v>0</v>
      </c>
      <c r="F29" s="982">
        <f>Demography!F$10</f>
        <v>0</v>
      </c>
      <c r="G29" s="982">
        <f>Demography!G$10</f>
        <v>0</v>
      </c>
      <c r="H29" s="983">
        <f>Demography!H$10</f>
        <v>0</v>
      </c>
    </row>
    <row r="30" spans="2:8">
      <c r="B30" s="947" t="s">
        <v>1390</v>
      </c>
      <c r="C30" s="961">
        <f>Staff_Costs!E25</f>
        <v>0</v>
      </c>
      <c r="D30" s="961">
        <f>Staff_Costs!F25</f>
        <v>0</v>
      </c>
      <c r="E30" s="961">
        <f>Staff_Costs!G25</f>
        <v>0</v>
      </c>
      <c r="F30" s="961">
        <f>Staff_Costs!H25</f>
        <v>0</v>
      </c>
      <c r="G30" s="961">
        <f>Staff_Costs!I25</f>
        <v>0</v>
      </c>
      <c r="H30" s="962">
        <f>Staff_Costs!J25</f>
        <v>0</v>
      </c>
    </row>
    <row r="31" spans="2:8">
      <c r="B31" s="753" t="s">
        <v>1163</v>
      </c>
      <c r="C31" s="963">
        <f>IFERROR(IF($B$28=0,0,ROUNDUP(C29/Staff_Costs!$H$11,0)),0)</f>
        <v>0</v>
      </c>
      <c r="D31" s="963">
        <f>IFERROR(IF($B$28=0,0,ROUNDUP(D29/Staff_Costs!$H$11,0)),0)</f>
        <v>0</v>
      </c>
      <c r="E31" s="963">
        <f>IFERROR(IF($B$28=0,0,ROUNDUP(E29/Staff_Costs!$H$11,0)),0)</f>
        <v>0</v>
      </c>
      <c r="F31" s="963">
        <f>IFERROR(IF($B$28=0,0,ROUNDUP(F29/Staff_Costs!$H$11,0)),0)</f>
        <v>0</v>
      </c>
      <c r="G31" s="963">
        <f>IFERROR(IF($B$28=0,0,ROUNDUP(G29/Staff_Costs!$H$11,0)),0)</f>
        <v>0</v>
      </c>
      <c r="H31" s="964">
        <f>IFERROR(IF($B$28=0,0,ROUNDUP(H29/Staff_Costs!$H$11,0)),0)</f>
        <v>0</v>
      </c>
    </row>
    <row r="32" spans="2:8">
      <c r="B32" s="947" t="str">
        <f>"Total "&amp;_rt3&amp;"required"</f>
        <v>Total required</v>
      </c>
      <c r="C32" s="961">
        <f>IF($B28=0,0,IF(Staff_Costs!$I$11="Manual Entry",C30,IF(Staff_Costs!$I$11="RT per population",C31,"")))</f>
        <v>0</v>
      </c>
      <c r="D32" s="961">
        <f>IF($B28=0,0,IF(Staff_Costs!$I$11="Manual Entry",D30,IF(Staff_Costs!$I$11="RT per population",D31,"")))</f>
        <v>0</v>
      </c>
      <c r="E32" s="961">
        <f>IF($B28=0,0,IF(Staff_Costs!$I$11="Manual Entry",E30,IF(Staff_Costs!$I$11="RT per population",E31,"")))</f>
        <v>0</v>
      </c>
      <c r="F32" s="961">
        <f>IF($B28=0,0,IF(Staff_Costs!$I$11="Manual Entry",F30,IF(Staff_Costs!$I$11="RT per population",F31,"")))</f>
        <v>0</v>
      </c>
      <c r="G32" s="961">
        <f>IF($B28=0,0,IF(Staff_Costs!$I$11="Manual Entry",G30,IF(Staff_Costs!$I$11="RT per population",G31,"")))</f>
        <v>0</v>
      </c>
      <c r="H32" s="962">
        <f>IF($B28=0,0,IF(Staff_Costs!$I$11="Manual Entry",H30,IF(Staff_Costs!$I$11="RT per population",H31,"")))</f>
        <v>0</v>
      </c>
    </row>
    <row r="33" spans="2:8">
      <c r="B33" s="746" t="str">
        <f>_rt3&amp;"Existing at Start of Year"</f>
        <v>Existing at Start of Year</v>
      </c>
      <c r="C33" s="961">
        <f>Staff_Costs!F11</f>
        <v>0</v>
      </c>
      <c r="D33" s="961">
        <f>C36</f>
        <v>0</v>
      </c>
      <c r="E33" s="961">
        <f>D36</f>
        <v>0</v>
      </c>
      <c r="F33" s="961">
        <f>E36</f>
        <v>0</v>
      </c>
      <c r="G33" s="961">
        <f>F36</f>
        <v>0</v>
      </c>
      <c r="H33" s="962">
        <f>G36</f>
        <v>0</v>
      </c>
    </row>
    <row r="34" spans="2:8">
      <c r="B34" s="746" t="str">
        <f>_rt3&amp;"posts required at Start of Year"</f>
        <v>posts required at Start of Year</v>
      </c>
      <c r="C34" s="961">
        <f t="shared" ref="C34:H34" si="4">IF(C32-C33&lt;0,0,C32-C33)</f>
        <v>0</v>
      </c>
      <c r="D34" s="961">
        <f t="shared" si="4"/>
        <v>0</v>
      </c>
      <c r="E34" s="961">
        <f t="shared" si="4"/>
        <v>0</v>
      </c>
      <c r="F34" s="961">
        <f t="shared" si="4"/>
        <v>0</v>
      </c>
      <c r="G34" s="961">
        <f t="shared" si="4"/>
        <v>0</v>
      </c>
      <c r="H34" s="962">
        <f t="shared" si="4"/>
        <v>0</v>
      </c>
    </row>
    <row r="35" spans="2:8">
      <c r="B35" s="746" t="str">
        <f>_rt3&amp;"Lost to Attrition"</f>
        <v>Lost to Attrition</v>
      </c>
      <c r="C35" s="961">
        <f>ROUNDUP(C32*Staff_Costs!$G$9,0)</f>
        <v>0</v>
      </c>
      <c r="D35" s="961">
        <f>ROUNDUP(D32*Staff_Costs!$G$9,0)</f>
        <v>0</v>
      </c>
      <c r="E35" s="961">
        <f>ROUNDUP(E32*Staff_Costs!$G$9,0)</f>
        <v>0</v>
      </c>
      <c r="F35" s="961">
        <f>ROUNDUP(F32*Staff_Costs!$G$9,0)</f>
        <v>0</v>
      </c>
      <c r="G35" s="961">
        <f>ROUNDUP(G32*Staff_Costs!$G$9,0)</f>
        <v>0</v>
      </c>
      <c r="H35" s="962">
        <f>ROUNDUP(H32*Staff_Costs!$G$9,0)</f>
        <v>0</v>
      </c>
    </row>
    <row r="36" spans="2:8">
      <c r="B36" s="753" t="str">
        <f>_rt3&amp;"at End of Year"</f>
        <v>at End of Year</v>
      </c>
      <c r="C36" s="963">
        <f t="shared" ref="C36:H36" si="5">C32-C35</f>
        <v>0</v>
      </c>
      <c r="D36" s="963">
        <f t="shared" si="5"/>
        <v>0</v>
      </c>
      <c r="E36" s="963">
        <f t="shared" si="5"/>
        <v>0</v>
      </c>
      <c r="F36" s="963">
        <f t="shared" si="5"/>
        <v>0</v>
      </c>
      <c r="G36" s="963">
        <f t="shared" si="5"/>
        <v>0</v>
      </c>
      <c r="H36" s="964">
        <f t="shared" si="5"/>
        <v>0</v>
      </c>
    </row>
    <row r="37" spans="2:8">
      <c r="C37" s="495"/>
      <c r="D37" s="495"/>
      <c r="E37" s="495"/>
      <c r="F37" s="495"/>
      <c r="G37" s="495"/>
      <c r="H37" s="495"/>
    </row>
    <row r="38" spans="2:8">
      <c r="C38" s="495"/>
      <c r="D38" s="495"/>
      <c r="E38" s="495"/>
      <c r="F38" s="495"/>
      <c r="G38" s="495"/>
      <c r="H38" s="495"/>
    </row>
    <row r="39" spans="2:8">
      <c r="B39" s="610">
        <f>_rt4</f>
        <v>0</v>
      </c>
      <c r="C39" s="980"/>
      <c r="D39" s="980"/>
      <c r="E39" s="980"/>
      <c r="F39" s="980"/>
      <c r="G39" s="980"/>
      <c r="H39" s="981"/>
    </row>
    <row r="40" spans="2:8">
      <c r="B40" s="949" t="s">
        <v>1162</v>
      </c>
      <c r="C40" s="982">
        <f>Demography!C$10</f>
        <v>0</v>
      </c>
      <c r="D40" s="982">
        <f>Demography!D$10</f>
        <v>0</v>
      </c>
      <c r="E40" s="982">
        <f>Demography!E$10</f>
        <v>0</v>
      </c>
      <c r="F40" s="982">
        <f>Demography!F$10</f>
        <v>0</v>
      </c>
      <c r="G40" s="982">
        <f>Demography!G$10</f>
        <v>0</v>
      </c>
      <c r="H40" s="983">
        <f>Demography!H$10</f>
        <v>0</v>
      </c>
    </row>
    <row r="41" spans="2:8">
      <c r="B41" s="947" t="s">
        <v>1390</v>
      </c>
      <c r="C41" s="961">
        <f>Staff_Costs!E26</f>
        <v>0</v>
      </c>
      <c r="D41" s="961">
        <f>Staff_Costs!F26</f>
        <v>0</v>
      </c>
      <c r="E41" s="961">
        <f>Staff_Costs!G26</f>
        <v>0</v>
      </c>
      <c r="F41" s="961">
        <f>Staff_Costs!H26</f>
        <v>0</v>
      </c>
      <c r="G41" s="961">
        <f>Staff_Costs!I26</f>
        <v>0</v>
      </c>
      <c r="H41" s="962">
        <f>Staff_Costs!J26</f>
        <v>0</v>
      </c>
    </row>
    <row r="42" spans="2:8">
      <c r="B42" s="753" t="s">
        <v>1163</v>
      </c>
      <c r="C42" s="963">
        <f>IFERROR(IF($B$39=0,0,ROUNDUP(C40/Staff_Costs!$H$12,0)),0)</f>
        <v>0</v>
      </c>
      <c r="D42" s="963">
        <f>IFERROR(IF($B$39=0,0,ROUNDUP(D40/Staff_Costs!$H$12,0)),0)</f>
        <v>0</v>
      </c>
      <c r="E42" s="963">
        <f>IFERROR(IF($B$39=0,0,ROUNDUP(E40/Staff_Costs!$H$12,0)),0)</f>
        <v>0</v>
      </c>
      <c r="F42" s="963">
        <f>IFERROR(IF($B$39=0,0,ROUNDUP(F40/Staff_Costs!$H$12,0)),0)</f>
        <v>0</v>
      </c>
      <c r="G42" s="963">
        <f>IFERROR(IF($B$39=0,0,ROUNDUP(G40/Staff_Costs!$H$12,0)),0)</f>
        <v>0</v>
      </c>
      <c r="H42" s="964">
        <f>IFERROR(IF($B$39=0,0,ROUNDUP(H40/Staff_Costs!$H$12,0)),0)</f>
        <v>0</v>
      </c>
    </row>
    <row r="43" spans="2:8">
      <c r="B43" s="947" t="str">
        <f>"Total "&amp;_rt4&amp;" required"</f>
        <v>Total  required</v>
      </c>
      <c r="C43" s="961">
        <f>IF($B39=0,0,IF(Staff_Costs!$I$12="Manual Entry",C41,IF(Staff_Costs!$I$12="RT per population",C42,"")))</f>
        <v>0</v>
      </c>
      <c r="D43" s="961">
        <f>IF($B39=0,0,IF(Staff_Costs!$I$12="Manual Entry",D41,IF(Staff_Costs!$I$12="RT per population",D42,"")))</f>
        <v>0</v>
      </c>
      <c r="E43" s="961">
        <f>IF($B39=0,0,IF(Staff_Costs!$I$12="Manual Entry",E41,IF(Staff_Costs!$I$12="RT per population",E42,"")))</f>
        <v>0</v>
      </c>
      <c r="F43" s="961">
        <f>IF($B39=0,0,IF(Staff_Costs!$I$12="Manual Entry",F41,IF(Staff_Costs!$I$12="RT per population",F42,"")))</f>
        <v>0</v>
      </c>
      <c r="G43" s="961">
        <f>IF($B39=0,0,IF(Staff_Costs!$I$12="Manual Entry",G41,IF(Staff_Costs!$I$12="RT per population",G42,"")))</f>
        <v>0</v>
      </c>
      <c r="H43" s="962">
        <f>IF($B39=0,0,IF(Staff_Costs!$I$12="Manual Entry",H41,IF(Staff_Costs!$I$12="RT per population",H42,"")))</f>
        <v>0</v>
      </c>
    </row>
    <row r="44" spans="2:8">
      <c r="B44" s="746" t="str">
        <f>_rt4&amp;" Existing at Start of Year"</f>
        <v xml:space="preserve"> Existing at Start of Year</v>
      </c>
      <c r="C44" s="961">
        <f>Staff_Costs!F12</f>
        <v>0</v>
      </c>
      <c r="D44" s="961">
        <f>C47</f>
        <v>0</v>
      </c>
      <c r="E44" s="961">
        <f>D47</f>
        <v>0</v>
      </c>
      <c r="F44" s="961">
        <f>E47</f>
        <v>0</v>
      </c>
      <c r="G44" s="961">
        <f>F47</f>
        <v>0</v>
      </c>
      <c r="H44" s="962">
        <f>G47</f>
        <v>0</v>
      </c>
    </row>
    <row r="45" spans="2:8">
      <c r="B45" s="746" t="str">
        <f>_rt4&amp;" posts required at Start of Year"</f>
        <v xml:space="preserve"> posts required at Start of Year</v>
      </c>
      <c r="C45" s="961">
        <f t="shared" ref="C45:H45" si="6">IF(C43-C44&lt;0,0,C43-C44)</f>
        <v>0</v>
      </c>
      <c r="D45" s="961">
        <f t="shared" si="6"/>
        <v>0</v>
      </c>
      <c r="E45" s="961">
        <f t="shared" si="6"/>
        <v>0</v>
      </c>
      <c r="F45" s="961">
        <f t="shared" si="6"/>
        <v>0</v>
      </c>
      <c r="G45" s="961">
        <f t="shared" si="6"/>
        <v>0</v>
      </c>
      <c r="H45" s="962">
        <f t="shared" si="6"/>
        <v>0</v>
      </c>
    </row>
    <row r="46" spans="2:8">
      <c r="B46" s="746" t="str">
        <f>_rt4&amp;" Lost to Attrition"</f>
        <v xml:space="preserve"> Lost to Attrition</v>
      </c>
      <c r="C46" s="961">
        <f>ROUNDUP(C43*Staff_Costs!$G$9,0)</f>
        <v>0</v>
      </c>
      <c r="D46" s="961">
        <f>ROUNDUP(D43*Staff_Costs!$G$9,0)</f>
        <v>0</v>
      </c>
      <c r="E46" s="961">
        <f>ROUNDUP(E43*Staff_Costs!$G$9,0)</f>
        <v>0</v>
      </c>
      <c r="F46" s="961">
        <f>ROUNDUP(F43*Staff_Costs!$G$9,0)</f>
        <v>0</v>
      </c>
      <c r="G46" s="961">
        <f>ROUNDUP(G43*Staff_Costs!$G$9,0)</f>
        <v>0</v>
      </c>
      <c r="H46" s="962">
        <f>ROUNDUP(H43*Staff_Costs!$G$9,0)</f>
        <v>0</v>
      </c>
    </row>
    <row r="47" spans="2:8">
      <c r="B47" s="753" t="str">
        <f>_rt4&amp;" at End of Year"</f>
        <v xml:space="preserve"> at End of Year</v>
      </c>
      <c r="C47" s="963">
        <f t="shared" ref="C47:H47" si="7">C43-C46</f>
        <v>0</v>
      </c>
      <c r="D47" s="963">
        <f t="shared" si="7"/>
        <v>0</v>
      </c>
      <c r="E47" s="963">
        <f t="shared" si="7"/>
        <v>0</v>
      </c>
      <c r="F47" s="963">
        <f t="shared" si="7"/>
        <v>0</v>
      </c>
      <c r="G47" s="963">
        <f t="shared" si="7"/>
        <v>0</v>
      </c>
      <c r="H47" s="964">
        <f t="shared" si="7"/>
        <v>0</v>
      </c>
    </row>
    <row r="48" spans="2:8">
      <c r="C48" s="495"/>
      <c r="D48" s="495"/>
      <c r="E48" s="495"/>
      <c r="F48" s="495"/>
      <c r="G48" s="495"/>
      <c r="H48" s="495"/>
    </row>
    <row r="49" spans="2:8">
      <c r="C49" s="495"/>
      <c r="D49" s="495"/>
      <c r="E49" s="495"/>
      <c r="F49" s="495"/>
      <c r="G49" s="495"/>
      <c r="H49" s="495"/>
    </row>
    <row r="50" spans="2:8">
      <c r="B50" s="610">
        <f>_rt5</f>
        <v>0</v>
      </c>
      <c r="C50" s="980"/>
      <c r="D50" s="980"/>
      <c r="E50" s="980"/>
      <c r="F50" s="980"/>
      <c r="G50" s="980"/>
      <c r="H50" s="981"/>
    </row>
    <row r="51" spans="2:8">
      <c r="B51" s="949" t="s">
        <v>1162</v>
      </c>
      <c r="C51" s="982">
        <f>Demography!C$10</f>
        <v>0</v>
      </c>
      <c r="D51" s="982">
        <f>Demography!D$10</f>
        <v>0</v>
      </c>
      <c r="E51" s="982">
        <f>Demography!E$10</f>
        <v>0</v>
      </c>
      <c r="F51" s="982">
        <f>Demography!F$10</f>
        <v>0</v>
      </c>
      <c r="G51" s="982">
        <f>Demography!G$10</f>
        <v>0</v>
      </c>
      <c r="H51" s="983">
        <f>Demography!H$10</f>
        <v>0</v>
      </c>
    </row>
    <row r="52" spans="2:8">
      <c r="B52" s="947" t="s">
        <v>1390</v>
      </c>
      <c r="C52" s="961">
        <f>Staff_Costs!E27</f>
        <v>0</v>
      </c>
      <c r="D52" s="961">
        <f>Staff_Costs!F27</f>
        <v>0</v>
      </c>
      <c r="E52" s="961">
        <f>Staff_Costs!G27</f>
        <v>0</v>
      </c>
      <c r="F52" s="961">
        <f>Staff_Costs!H27</f>
        <v>0</v>
      </c>
      <c r="G52" s="961">
        <f>Staff_Costs!I27</f>
        <v>0</v>
      </c>
      <c r="H52" s="962">
        <f>Staff_Costs!J27</f>
        <v>0</v>
      </c>
    </row>
    <row r="53" spans="2:8">
      <c r="B53" s="753" t="s">
        <v>1163</v>
      </c>
      <c r="C53" s="963">
        <f>IFERROR(IF($B$50=0,0,ROUNDUP(C51/Staff_Costs!$H$13,0)),0)</f>
        <v>0</v>
      </c>
      <c r="D53" s="963">
        <f>IFERROR(IF($B$50=0,0,ROUNDUP(D51/Staff_Costs!$H$13,0)),0)</f>
        <v>0</v>
      </c>
      <c r="E53" s="963">
        <f>IFERROR(IF($B$50=0,0,ROUNDUP(E51/Staff_Costs!$H$13,0)),0)</f>
        <v>0</v>
      </c>
      <c r="F53" s="963">
        <f>IFERROR(IF($B$50=0,0,ROUNDUP(F51/Staff_Costs!$H$13,0)),0)</f>
        <v>0</v>
      </c>
      <c r="G53" s="963">
        <f>IFERROR(IF($B$50=0,0,ROUNDUP(G51/Staff_Costs!$H$13,0)),0)</f>
        <v>0</v>
      </c>
      <c r="H53" s="964">
        <f>IFERROR(IF($B$50=0,0,ROUNDUP(H51/Staff_Costs!$H$13,0)),0)</f>
        <v>0</v>
      </c>
    </row>
    <row r="54" spans="2:8">
      <c r="B54" s="947" t="str">
        <f>"Total "&amp;_rt5&amp;" required"</f>
        <v>Total  required</v>
      </c>
      <c r="C54" s="961">
        <f>IF($B50=0,0,IF(Staff_Costs!$I$13="Manual Entry",C52,IF(Staff_Costs!$I$13="RT per population",C53,"")))</f>
        <v>0</v>
      </c>
      <c r="D54" s="961">
        <f>IF($B50=0,0,IF(Staff_Costs!$I$13="Manual Entry",D52,IF(Staff_Costs!$I$13="RT per population",D53,"")))</f>
        <v>0</v>
      </c>
      <c r="E54" s="961">
        <f>IF($B50=0,0,IF(Staff_Costs!$I$13="Manual Entry",E52,IF(Staff_Costs!$I$13="RT per population",E53,"")))</f>
        <v>0</v>
      </c>
      <c r="F54" s="961">
        <f>IF($B50=0,0,IF(Staff_Costs!$I$13="Manual Entry",F52,IF(Staff_Costs!$I$13="RT per population",F53,"")))</f>
        <v>0</v>
      </c>
      <c r="G54" s="961">
        <f>IF($B50=0,0,IF(Staff_Costs!$I$13="Manual Entry",G52,IF(Staff_Costs!$I$13="RT per population",G53,"")))</f>
        <v>0</v>
      </c>
      <c r="H54" s="962">
        <f>IF($B50=0,0,IF(Staff_Costs!$I$13="Manual Entry",H52,IF(Staff_Costs!$I$13="RT per population",H53,"")))</f>
        <v>0</v>
      </c>
    </row>
    <row r="55" spans="2:8">
      <c r="B55" s="746" t="str">
        <f>_rt5&amp;" Existing at Start of Year"</f>
        <v xml:space="preserve"> Existing at Start of Year</v>
      </c>
      <c r="C55" s="961">
        <f>Staff_Costs!F13</f>
        <v>0</v>
      </c>
      <c r="D55" s="961">
        <f>C58</f>
        <v>0</v>
      </c>
      <c r="E55" s="961">
        <f>D58</f>
        <v>0</v>
      </c>
      <c r="F55" s="961">
        <f>E58</f>
        <v>0</v>
      </c>
      <c r="G55" s="961">
        <f>F58</f>
        <v>0</v>
      </c>
      <c r="H55" s="962">
        <f>G58</f>
        <v>0</v>
      </c>
    </row>
    <row r="56" spans="2:8">
      <c r="B56" s="746" t="str">
        <f>_rt5&amp;" posts required at Start of Year"</f>
        <v xml:space="preserve"> posts required at Start of Year</v>
      </c>
      <c r="C56" s="961">
        <f t="shared" ref="C56:H56" si="8">IF(C54-C55&lt;0,0,C54-C55)</f>
        <v>0</v>
      </c>
      <c r="D56" s="961">
        <f t="shared" si="8"/>
        <v>0</v>
      </c>
      <c r="E56" s="961">
        <f t="shared" si="8"/>
        <v>0</v>
      </c>
      <c r="F56" s="961">
        <f t="shared" si="8"/>
        <v>0</v>
      </c>
      <c r="G56" s="961">
        <f t="shared" si="8"/>
        <v>0</v>
      </c>
      <c r="H56" s="962">
        <f t="shared" si="8"/>
        <v>0</v>
      </c>
    </row>
    <row r="57" spans="2:8">
      <c r="B57" s="746" t="str">
        <f>_rt5&amp;" Lost to Attrition"</f>
        <v xml:space="preserve"> Lost to Attrition</v>
      </c>
      <c r="C57" s="961">
        <f>ROUNDUP(C54*Staff_Costs!$G$9,0)</f>
        <v>0</v>
      </c>
      <c r="D57" s="961">
        <f>ROUNDUP(D54*Staff_Costs!$G$9,0)</f>
        <v>0</v>
      </c>
      <c r="E57" s="961">
        <f>ROUNDUP(E54*Staff_Costs!$G$9,0)</f>
        <v>0</v>
      </c>
      <c r="F57" s="961">
        <f>ROUNDUP(F54*Staff_Costs!$G$9,0)</f>
        <v>0</v>
      </c>
      <c r="G57" s="961">
        <f>ROUNDUP(G54*Staff_Costs!$G$9,0)</f>
        <v>0</v>
      </c>
      <c r="H57" s="962">
        <f>ROUNDUP(H54*Staff_Costs!$G$9,0)</f>
        <v>0</v>
      </c>
    </row>
    <row r="58" spans="2:8">
      <c r="B58" s="753" t="str">
        <f>_rt5&amp;" at End of Year"</f>
        <v xml:space="preserve"> at End of Year</v>
      </c>
      <c r="C58" s="963">
        <f t="shared" ref="C58:H58" si="9">C54-C57</f>
        <v>0</v>
      </c>
      <c r="D58" s="963">
        <f t="shared" si="9"/>
        <v>0</v>
      </c>
      <c r="E58" s="963">
        <f t="shared" si="9"/>
        <v>0</v>
      </c>
      <c r="F58" s="963">
        <f t="shared" si="9"/>
        <v>0</v>
      </c>
      <c r="G58" s="963">
        <f t="shared" si="9"/>
        <v>0</v>
      </c>
      <c r="H58" s="964">
        <f t="shared" si="9"/>
        <v>0</v>
      </c>
    </row>
    <row r="59" spans="2:8">
      <c r="C59" s="495"/>
      <c r="D59" s="495"/>
      <c r="E59" s="495"/>
      <c r="F59" s="495"/>
      <c r="G59" s="495"/>
      <c r="H59" s="495"/>
    </row>
    <row r="60" spans="2:8">
      <c r="C60" s="495"/>
      <c r="D60" s="495"/>
      <c r="E60" s="495"/>
      <c r="F60" s="495"/>
      <c r="G60" s="495"/>
      <c r="H60" s="495"/>
    </row>
    <row r="61" spans="2:8">
      <c r="B61" s="610">
        <f>_rt6</f>
        <v>0</v>
      </c>
      <c r="C61" s="980"/>
      <c r="D61" s="980"/>
      <c r="E61" s="980"/>
      <c r="F61" s="980"/>
      <c r="G61" s="980"/>
      <c r="H61" s="981"/>
    </row>
    <row r="62" spans="2:8">
      <c r="B62" s="949" t="s">
        <v>1162</v>
      </c>
      <c r="C62" s="982">
        <f>Demography!C$10</f>
        <v>0</v>
      </c>
      <c r="D62" s="982">
        <f>Demography!D$10</f>
        <v>0</v>
      </c>
      <c r="E62" s="982">
        <f>Demography!E$10</f>
        <v>0</v>
      </c>
      <c r="F62" s="982">
        <f>Demography!F$10</f>
        <v>0</v>
      </c>
      <c r="G62" s="982">
        <f>Demography!G$10</f>
        <v>0</v>
      </c>
      <c r="H62" s="983">
        <f>Demography!H$10</f>
        <v>0</v>
      </c>
    </row>
    <row r="63" spans="2:8">
      <c r="B63" s="947" t="s">
        <v>1390</v>
      </c>
      <c r="C63" s="961">
        <f>Staff_Costs!E28</f>
        <v>0</v>
      </c>
      <c r="D63" s="961">
        <f>Staff_Costs!F28</f>
        <v>0</v>
      </c>
      <c r="E63" s="961">
        <f>Staff_Costs!G28</f>
        <v>0</v>
      </c>
      <c r="F63" s="961">
        <f>Staff_Costs!H28</f>
        <v>0</v>
      </c>
      <c r="G63" s="961">
        <f>Staff_Costs!I28</f>
        <v>0</v>
      </c>
      <c r="H63" s="962">
        <f>Staff_Costs!J28</f>
        <v>0</v>
      </c>
    </row>
    <row r="64" spans="2:8">
      <c r="B64" s="753" t="s">
        <v>1163</v>
      </c>
      <c r="C64" s="963">
        <f>IFERROR(IF($B$61=0,0,ROUNDUP(C62/Staff_Costs!$H$14,0)),0)</f>
        <v>0</v>
      </c>
      <c r="D64" s="963">
        <f>IFERROR(IF($B$61=0,0,ROUNDUP(D62/Staff_Costs!$H$14,0)),0)</f>
        <v>0</v>
      </c>
      <c r="E64" s="963">
        <f>IFERROR(IF($B$61=0,0,ROUNDUP(E62/Staff_Costs!$H$14,0)),0)</f>
        <v>0</v>
      </c>
      <c r="F64" s="963">
        <f>IFERROR(IF($B$61=0,0,ROUNDUP(F62/Staff_Costs!$H$14,0)),0)</f>
        <v>0</v>
      </c>
      <c r="G64" s="963">
        <f>IFERROR(IF($B$61=0,0,ROUNDUP(G62/Staff_Costs!$H$14,0)),0)</f>
        <v>0</v>
      </c>
      <c r="H64" s="964">
        <f>IFERROR(IF($B$61=0,0,ROUNDUP(H62/Staff_Costs!$H$14,0)),0)</f>
        <v>0</v>
      </c>
    </row>
    <row r="65" spans="2:8">
      <c r="B65" s="947" t="str">
        <f>"Total "&amp;_rt6&amp;" required"</f>
        <v>Total  required</v>
      </c>
      <c r="C65" s="961">
        <f>IF($B61=0,0,IF(Staff_Costs!$I$14="Manual Entry",C63,IF(Staff_Costs!$I$14="RT per population",C64,"")))</f>
        <v>0</v>
      </c>
      <c r="D65" s="961">
        <f>IF($B61=0,0,IF(Staff_Costs!$I$14="Manual Entry",D63,IF(Staff_Costs!$I$14="RT per population",D64,"")))</f>
        <v>0</v>
      </c>
      <c r="E65" s="961">
        <f>IF($B61=0,0,IF(Staff_Costs!$I$14="Manual Entry",E63,IF(Staff_Costs!$I$14="RT per population",E64,"")))</f>
        <v>0</v>
      </c>
      <c r="F65" s="961">
        <f>IF($B61=0,0,IF(Staff_Costs!$I$14="Manual Entry",F63,IF(Staff_Costs!$I$14="RT per population",F64,"")))</f>
        <v>0</v>
      </c>
      <c r="G65" s="961">
        <f>IF($B61=0,0,IF(Staff_Costs!$I$14="Manual Entry",G63,IF(Staff_Costs!$I$14="RT per population",G64,"")))</f>
        <v>0</v>
      </c>
      <c r="H65" s="962">
        <f>IF($B61=0,0,IF(Staff_Costs!$I$14="Manual Entry",H63,IF(Staff_Costs!$I$14="RT per population",H64,"")))</f>
        <v>0</v>
      </c>
    </row>
    <row r="66" spans="2:8">
      <c r="B66" s="746" t="str">
        <f>_rt6&amp;" Existing at Start of Year"</f>
        <v xml:space="preserve"> Existing at Start of Year</v>
      </c>
      <c r="C66" s="961">
        <f>Staff_Costs!F14</f>
        <v>0</v>
      </c>
      <c r="D66" s="961">
        <f>C69</f>
        <v>0</v>
      </c>
      <c r="E66" s="961">
        <f>D69</f>
        <v>0</v>
      </c>
      <c r="F66" s="961">
        <f>E69</f>
        <v>0</v>
      </c>
      <c r="G66" s="961">
        <f>F69</f>
        <v>0</v>
      </c>
      <c r="H66" s="962">
        <f>G69</f>
        <v>0</v>
      </c>
    </row>
    <row r="67" spans="2:8">
      <c r="B67" s="746" t="str">
        <f>_rt6&amp;" posts required at Start of Year"</f>
        <v xml:space="preserve"> posts required at Start of Year</v>
      </c>
      <c r="C67" s="961">
        <f t="shared" ref="C67:H67" si="10">IF(C65-C66&lt;0,0,C65-C66)</f>
        <v>0</v>
      </c>
      <c r="D67" s="961">
        <f t="shared" si="10"/>
        <v>0</v>
      </c>
      <c r="E67" s="961">
        <f t="shared" si="10"/>
        <v>0</v>
      </c>
      <c r="F67" s="961">
        <f t="shared" si="10"/>
        <v>0</v>
      </c>
      <c r="G67" s="961">
        <f t="shared" si="10"/>
        <v>0</v>
      </c>
      <c r="H67" s="962">
        <f t="shared" si="10"/>
        <v>0</v>
      </c>
    </row>
    <row r="68" spans="2:8">
      <c r="B68" s="746" t="str">
        <f>_rt6&amp;" Lost to Attrition"</f>
        <v xml:space="preserve"> Lost to Attrition</v>
      </c>
      <c r="C68" s="961">
        <f>ROUNDUP(C65*Staff_Costs!$G$9,0)</f>
        <v>0</v>
      </c>
      <c r="D68" s="961">
        <f>ROUNDUP(D65*Staff_Costs!$G$9,0)</f>
        <v>0</v>
      </c>
      <c r="E68" s="961">
        <f>ROUNDUP(E65*Staff_Costs!$G$9,0)</f>
        <v>0</v>
      </c>
      <c r="F68" s="961">
        <f>ROUNDUP(F65*Staff_Costs!$G$9,0)</f>
        <v>0</v>
      </c>
      <c r="G68" s="961">
        <f>ROUNDUP(G65*Staff_Costs!$G$9,0)</f>
        <v>0</v>
      </c>
      <c r="H68" s="962">
        <f>ROUNDUP(H65*Staff_Costs!$G$9,0)</f>
        <v>0</v>
      </c>
    </row>
    <row r="69" spans="2:8">
      <c r="B69" s="753" t="str">
        <f>_rt6&amp;" at End of Year"</f>
        <v xml:space="preserve"> at End of Year</v>
      </c>
      <c r="C69" s="963">
        <f t="shared" ref="C69:H69" si="11">C65-C68</f>
        <v>0</v>
      </c>
      <c r="D69" s="963">
        <f t="shared" si="11"/>
        <v>0</v>
      </c>
      <c r="E69" s="963">
        <f t="shared" si="11"/>
        <v>0</v>
      </c>
      <c r="F69" s="963">
        <f t="shared" si="11"/>
        <v>0</v>
      </c>
      <c r="G69" s="963">
        <f t="shared" si="11"/>
        <v>0</v>
      </c>
      <c r="H69" s="964">
        <f t="shared" si="11"/>
        <v>0</v>
      </c>
    </row>
    <row r="70" spans="2:8">
      <c r="C70" s="495"/>
      <c r="D70" s="495"/>
      <c r="E70" s="495"/>
      <c r="F70" s="495"/>
      <c r="G70" s="495"/>
      <c r="H70" s="495"/>
    </row>
    <row r="71" spans="2:8">
      <c r="C71" s="495"/>
      <c r="D71" s="495"/>
      <c r="E71" s="495"/>
      <c r="F71" s="495"/>
      <c r="G71" s="495"/>
      <c r="H71" s="495"/>
    </row>
    <row r="72" spans="2:8">
      <c r="B72" s="610">
        <f>_rt7</f>
        <v>0</v>
      </c>
      <c r="C72" s="980"/>
      <c r="D72" s="980"/>
      <c r="E72" s="980"/>
      <c r="F72" s="980"/>
      <c r="G72" s="980"/>
      <c r="H72" s="981"/>
    </row>
    <row r="73" spans="2:8">
      <c r="B73" s="949" t="s">
        <v>1162</v>
      </c>
      <c r="C73" s="982">
        <f>Demography!C$10</f>
        <v>0</v>
      </c>
      <c r="D73" s="982">
        <f>Demography!D$10</f>
        <v>0</v>
      </c>
      <c r="E73" s="982">
        <f>Demography!E$10</f>
        <v>0</v>
      </c>
      <c r="F73" s="982">
        <f>Demography!F$10</f>
        <v>0</v>
      </c>
      <c r="G73" s="982">
        <f>Demography!G$10</f>
        <v>0</v>
      </c>
      <c r="H73" s="983">
        <f>Demography!H$10</f>
        <v>0</v>
      </c>
    </row>
    <row r="74" spans="2:8">
      <c r="B74" s="947" t="s">
        <v>1390</v>
      </c>
      <c r="C74" s="961">
        <f>Staff_Costs!E29</f>
        <v>0</v>
      </c>
      <c r="D74" s="961">
        <f>Staff_Costs!F51</f>
        <v>0</v>
      </c>
      <c r="E74" s="961">
        <f>Staff_Costs!G51</f>
        <v>0</v>
      </c>
      <c r="F74" s="961">
        <f>Staff_Costs!H51</f>
        <v>0</v>
      </c>
      <c r="G74" s="961">
        <f>Staff_Costs!I51</f>
        <v>0</v>
      </c>
      <c r="H74" s="962">
        <f>Staff_Costs!J51</f>
        <v>0</v>
      </c>
    </row>
    <row r="75" spans="2:8">
      <c r="B75" s="753" t="s">
        <v>1163</v>
      </c>
      <c r="C75" s="963">
        <f>IFERROR(IF($B$72=0,0,ROUNDUP(C73/Staff_Costs!$H$15,0)),0)</f>
        <v>0</v>
      </c>
      <c r="D75" s="963">
        <f>IFERROR(IF($B$72=0,0,ROUNDUP(D73/Staff_Costs!$H$15,0)),0)</f>
        <v>0</v>
      </c>
      <c r="E75" s="963">
        <f>IFERROR(IF($B$72=0,0,ROUNDUP(E73/Staff_Costs!$H$15,0)),0)</f>
        <v>0</v>
      </c>
      <c r="F75" s="963">
        <f>IFERROR(IF($B$72=0,0,ROUNDUP(F73/Staff_Costs!$H$15,0)),0)</f>
        <v>0</v>
      </c>
      <c r="G75" s="963">
        <f>IFERROR(IF($B$72=0,0,ROUNDUP(G73/Staff_Costs!$H$15,0)),0)</f>
        <v>0</v>
      </c>
      <c r="H75" s="964">
        <f>IFERROR(IF($B$72=0,0,ROUNDUP(H73/Staff_Costs!$H$15,0)),0)</f>
        <v>0</v>
      </c>
    </row>
    <row r="76" spans="2:8">
      <c r="B76" s="947" t="str">
        <f>"Total "&amp;_rt7&amp;" required"</f>
        <v>Total  required</v>
      </c>
      <c r="C76" s="961">
        <f>IF($B72=0,0,IF(Staff_Costs!$I$15="Manual Entry",C74,IF(Staff_Costs!$I$15="RT per population",C75,"")))</f>
        <v>0</v>
      </c>
      <c r="D76" s="961">
        <f>IF($B72=0,0,IF(Staff_Costs!$I$15="Manual Entry",D74,IF(Staff_Costs!$I$15="RT per population",D75,"")))</f>
        <v>0</v>
      </c>
      <c r="E76" s="961">
        <f>IF($B72=0,0,IF(Staff_Costs!$I$15="Manual Entry",E74,IF(Staff_Costs!$I$15="RT per population",E75,"")))</f>
        <v>0</v>
      </c>
      <c r="F76" s="961">
        <f>IF($B72=0,0,IF(Staff_Costs!$I$15="Manual Entry",F74,IF(Staff_Costs!$I$15="RT per population",F75,"")))</f>
        <v>0</v>
      </c>
      <c r="G76" s="961">
        <f>IF($B72=0,0,IF(Staff_Costs!$I$15="Manual Entry",G74,IF(Staff_Costs!$I$15="RT per population",G75,"")))</f>
        <v>0</v>
      </c>
      <c r="H76" s="962">
        <f>IF($B72=0,0,IF(Staff_Costs!$I$15="Manual Entry",H74,IF(Staff_Costs!$I$15="RT per population",H75,"")))</f>
        <v>0</v>
      </c>
    </row>
    <row r="77" spans="2:8">
      <c r="B77" s="746" t="str">
        <f>_rt7&amp;" Existing at Start of Year"</f>
        <v xml:space="preserve"> Existing at Start of Year</v>
      </c>
      <c r="C77" s="961">
        <f>Staff_Costs!F15</f>
        <v>0</v>
      </c>
      <c r="D77" s="961">
        <f>C80</f>
        <v>0</v>
      </c>
      <c r="E77" s="961">
        <f>D80</f>
        <v>0</v>
      </c>
      <c r="F77" s="961">
        <f>E80</f>
        <v>0</v>
      </c>
      <c r="G77" s="961">
        <f>F80</f>
        <v>0</v>
      </c>
      <c r="H77" s="962">
        <f>G80</f>
        <v>0</v>
      </c>
    </row>
    <row r="78" spans="2:8">
      <c r="B78" s="746" t="str">
        <f>_rt7&amp;" posts required at Start of Year"</f>
        <v xml:space="preserve"> posts required at Start of Year</v>
      </c>
      <c r="C78" s="961">
        <f t="shared" ref="C78:H78" si="12">IF(C76-C77&lt;0,0,C76-C77)</f>
        <v>0</v>
      </c>
      <c r="D78" s="961">
        <f t="shared" si="12"/>
        <v>0</v>
      </c>
      <c r="E78" s="961">
        <f t="shared" si="12"/>
        <v>0</v>
      </c>
      <c r="F78" s="961">
        <f t="shared" si="12"/>
        <v>0</v>
      </c>
      <c r="G78" s="961">
        <f t="shared" si="12"/>
        <v>0</v>
      </c>
      <c r="H78" s="962">
        <f t="shared" si="12"/>
        <v>0</v>
      </c>
    </row>
    <row r="79" spans="2:8">
      <c r="B79" s="746" t="str">
        <f>_rt7&amp;" Lost to Attrition"</f>
        <v xml:space="preserve"> Lost to Attrition</v>
      </c>
      <c r="C79" s="961">
        <f>ROUNDUP(C76*Staff_Costs!$G$9,0)</f>
        <v>0</v>
      </c>
      <c r="D79" s="961">
        <f>ROUNDUP(D76*Staff_Costs!$G$9,0)</f>
        <v>0</v>
      </c>
      <c r="E79" s="961">
        <f>ROUNDUP(E76*Staff_Costs!$G$9,0)</f>
        <v>0</v>
      </c>
      <c r="F79" s="961">
        <f>ROUNDUP(F76*Staff_Costs!$G$9,0)</f>
        <v>0</v>
      </c>
      <c r="G79" s="961">
        <f>ROUNDUP(G76*Staff_Costs!$G$9,0)</f>
        <v>0</v>
      </c>
      <c r="H79" s="962">
        <f>ROUNDUP(H76*Staff_Costs!$G$9,0)</f>
        <v>0</v>
      </c>
    </row>
    <row r="80" spans="2:8">
      <c r="B80" s="753" t="str">
        <f>_rt7&amp;" at End of Year"</f>
        <v xml:space="preserve"> at End of Year</v>
      </c>
      <c r="C80" s="963">
        <f t="shared" ref="C80:H80" si="13">C76-C79</f>
        <v>0</v>
      </c>
      <c r="D80" s="963">
        <f t="shared" si="13"/>
        <v>0</v>
      </c>
      <c r="E80" s="963">
        <f t="shared" si="13"/>
        <v>0</v>
      </c>
      <c r="F80" s="963">
        <f t="shared" si="13"/>
        <v>0</v>
      </c>
      <c r="G80" s="963">
        <f t="shared" si="13"/>
        <v>0</v>
      </c>
      <c r="H80" s="964">
        <f t="shared" si="13"/>
        <v>0</v>
      </c>
    </row>
    <row r="81" spans="2:8">
      <c r="C81" s="495"/>
      <c r="D81" s="495"/>
      <c r="E81" s="495"/>
      <c r="F81" s="495"/>
      <c r="G81" s="495"/>
      <c r="H81" s="495"/>
    </row>
    <row r="82" spans="2:8">
      <c r="C82" s="495"/>
      <c r="D82" s="495"/>
      <c r="E82" s="495"/>
      <c r="F82" s="495"/>
      <c r="G82" s="495"/>
      <c r="H82" s="495"/>
    </row>
    <row r="83" spans="2:8">
      <c r="B83" s="4" t="s">
        <v>1457</v>
      </c>
      <c r="C83" s="715">
        <f t="shared" ref="C83:H83" si="14">C4</f>
        <v>0</v>
      </c>
      <c r="D83" s="715">
        <f t="shared" si="14"/>
        <v>1</v>
      </c>
      <c r="E83" s="715">
        <f t="shared" si="14"/>
        <v>2</v>
      </c>
      <c r="F83" s="715">
        <f t="shared" si="14"/>
        <v>3</v>
      </c>
      <c r="G83" s="715">
        <f t="shared" si="14"/>
        <v>4</v>
      </c>
      <c r="H83" s="715">
        <f t="shared" si="14"/>
        <v>5</v>
      </c>
    </row>
    <row r="84" spans="2:8">
      <c r="B84" s="6" t="str">
        <f>IF(_rt1="","",_rt1)</f>
        <v/>
      </c>
      <c r="C84" s="935">
        <f t="shared" ref="C84:H84" si="15">C10</f>
        <v>0</v>
      </c>
      <c r="D84" s="935">
        <f t="shared" si="15"/>
        <v>0</v>
      </c>
      <c r="E84" s="935">
        <f t="shared" si="15"/>
        <v>0</v>
      </c>
      <c r="F84" s="935">
        <f t="shared" si="15"/>
        <v>0</v>
      </c>
      <c r="G84" s="935">
        <f t="shared" si="15"/>
        <v>0</v>
      </c>
      <c r="H84" s="936">
        <f t="shared" si="15"/>
        <v>0</v>
      </c>
    </row>
    <row r="85" spans="2:8">
      <c r="B85" s="8" t="str">
        <f>IF(_rt2="","",_rt2)</f>
        <v/>
      </c>
      <c r="C85" s="938">
        <f t="shared" ref="C85" si="16">C21</f>
        <v>0</v>
      </c>
      <c r="D85" s="938">
        <f t="shared" ref="D85:H85" si="17">D21</f>
        <v>0</v>
      </c>
      <c r="E85" s="938">
        <f t="shared" si="17"/>
        <v>0</v>
      </c>
      <c r="F85" s="938">
        <f t="shared" si="17"/>
        <v>0</v>
      </c>
      <c r="G85" s="938">
        <f t="shared" si="17"/>
        <v>0</v>
      </c>
      <c r="H85" s="939">
        <f t="shared" si="17"/>
        <v>0</v>
      </c>
    </row>
    <row r="86" spans="2:8">
      <c r="B86" s="8" t="str">
        <f>IF(_rt3="","",_rt3)</f>
        <v/>
      </c>
      <c r="C86" s="938">
        <f>C32</f>
        <v>0</v>
      </c>
      <c r="D86" s="938">
        <f t="shared" ref="D86:H86" si="18">D32</f>
        <v>0</v>
      </c>
      <c r="E86" s="938">
        <f t="shared" si="18"/>
        <v>0</v>
      </c>
      <c r="F86" s="938">
        <f t="shared" si="18"/>
        <v>0</v>
      </c>
      <c r="G86" s="938">
        <f t="shared" si="18"/>
        <v>0</v>
      </c>
      <c r="H86" s="939">
        <f t="shared" si="18"/>
        <v>0</v>
      </c>
    </row>
    <row r="87" spans="2:8">
      <c r="B87" s="8" t="str">
        <f>IF(_rt4="","",_rt4)</f>
        <v/>
      </c>
      <c r="C87" s="938">
        <f>C43</f>
        <v>0</v>
      </c>
      <c r="D87" s="938">
        <f t="shared" ref="D87:H87" si="19">D43</f>
        <v>0</v>
      </c>
      <c r="E87" s="938">
        <f t="shared" si="19"/>
        <v>0</v>
      </c>
      <c r="F87" s="938">
        <f t="shared" si="19"/>
        <v>0</v>
      </c>
      <c r="G87" s="938">
        <f t="shared" si="19"/>
        <v>0</v>
      </c>
      <c r="H87" s="939">
        <f t="shared" si="19"/>
        <v>0</v>
      </c>
    </row>
    <row r="88" spans="2:8">
      <c r="B88" s="8" t="str">
        <f>IF(_rt5="","",_rt5)</f>
        <v/>
      </c>
      <c r="C88" s="938">
        <f>C54</f>
        <v>0</v>
      </c>
      <c r="D88" s="938">
        <f t="shared" ref="D88:H88" si="20">D54</f>
        <v>0</v>
      </c>
      <c r="E88" s="938">
        <f t="shared" si="20"/>
        <v>0</v>
      </c>
      <c r="F88" s="938">
        <f t="shared" si="20"/>
        <v>0</v>
      </c>
      <c r="G88" s="938">
        <f t="shared" si="20"/>
        <v>0</v>
      </c>
      <c r="H88" s="939">
        <f t="shared" si="20"/>
        <v>0</v>
      </c>
    </row>
    <row r="89" spans="2:8">
      <c r="B89" s="8" t="str">
        <f>IF(_rt6="","",_rt6)</f>
        <v/>
      </c>
      <c r="C89" s="938">
        <f>C65</f>
        <v>0</v>
      </c>
      <c r="D89" s="938">
        <f t="shared" ref="D89:H89" si="21">D65</f>
        <v>0</v>
      </c>
      <c r="E89" s="938">
        <f t="shared" si="21"/>
        <v>0</v>
      </c>
      <c r="F89" s="938">
        <f t="shared" si="21"/>
        <v>0</v>
      </c>
      <c r="G89" s="938">
        <f t="shared" si="21"/>
        <v>0</v>
      </c>
      <c r="H89" s="939">
        <f t="shared" si="21"/>
        <v>0</v>
      </c>
    </row>
    <row r="90" spans="2:8">
      <c r="B90" s="8" t="str">
        <f>IF(_rt7="","",_rt7)</f>
        <v/>
      </c>
      <c r="C90" s="938">
        <f>C76</f>
        <v>0</v>
      </c>
      <c r="D90" s="938">
        <f t="shared" ref="D90:H90" si="22">D76</f>
        <v>0</v>
      </c>
      <c r="E90" s="938">
        <f t="shared" si="22"/>
        <v>0</v>
      </c>
      <c r="F90" s="938">
        <f t="shared" si="22"/>
        <v>0</v>
      </c>
      <c r="G90" s="938">
        <f t="shared" si="22"/>
        <v>0</v>
      </c>
      <c r="H90" s="939">
        <f t="shared" si="22"/>
        <v>0</v>
      </c>
    </row>
    <row r="91" spans="2:8">
      <c r="B91" s="629"/>
      <c r="C91" s="938"/>
      <c r="D91" s="938"/>
      <c r="E91" s="938"/>
      <c r="F91" s="938"/>
      <c r="G91" s="938"/>
      <c r="H91" s="939"/>
    </row>
    <row r="92" spans="2:8">
      <c r="B92" s="9" t="s">
        <v>1458</v>
      </c>
      <c r="C92" s="709">
        <f>SUM(C84:C91)</f>
        <v>0</v>
      </c>
      <c r="D92" s="709">
        <f t="shared" ref="D92:H92" si="23">SUM(D84:D91)</f>
        <v>0</v>
      </c>
      <c r="E92" s="709">
        <f t="shared" si="23"/>
        <v>0</v>
      </c>
      <c r="F92" s="709">
        <f t="shared" si="23"/>
        <v>0</v>
      </c>
      <c r="G92" s="709">
        <f t="shared" si="23"/>
        <v>0</v>
      </c>
      <c r="H92" s="712">
        <f t="shared" si="23"/>
        <v>0</v>
      </c>
    </row>
    <row r="93" spans="2:8">
      <c r="C93" s="495"/>
      <c r="D93" s="495"/>
      <c r="E93" s="495"/>
      <c r="F93" s="495"/>
      <c r="G93" s="495"/>
      <c r="H93" s="495"/>
    </row>
    <row r="94" spans="2:8">
      <c r="C94" s="495"/>
      <c r="D94" s="495"/>
      <c r="E94" s="495"/>
      <c r="F94" s="495"/>
      <c r="G94" s="495"/>
      <c r="H94" s="495"/>
    </row>
    <row r="95" spans="2:8">
      <c r="B95" s="4" t="s">
        <v>1450</v>
      </c>
      <c r="C95" s="715"/>
      <c r="D95" s="715"/>
      <c r="E95" s="715"/>
      <c r="F95" s="715"/>
      <c r="G95" s="715"/>
      <c r="H95" s="715"/>
    </row>
    <row r="96" spans="2:8">
      <c r="B96" s="6" t="str">
        <f>IF(_rt1="","",_rt1)</f>
        <v/>
      </c>
      <c r="C96" s="935">
        <f t="shared" ref="C96:H96" si="24">C11</f>
        <v>0</v>
      </c>
      <c r="D96" s="935">
        <f t="shared" si="24"/>
        <v>0</v>
      </c>
      <c r="E96" s="935">
        <f t="shared" si="24"/>
        <v>0</v>
      </c>
      <c r="F96" s="935">
        <f t="shared" si="24"/>
        <v>0</v>
      </c>
      <c r="G96" s="935">
        <f t="shared" si="24"/>
        <v>0</v>
      </c>
      <c r="H96" s="936">
        <f t="shared" si="24"/>
        <v>0</v>
      </c>
    </row>
    <row r="97" spans="2:8">
      <c r="B97" s="8" t="str">
        <f>IF(_rt2="","",_rt2)</f>
        <v/>
      </c>
      <c r="C97" s="938">
        <f t="shared" ref="C97" si="25">C22</f>
        <v>0</v>
      </c>
      <c r="D97" s="938">
        <f t="shared" ref="D97:H97" si="26">D22</f>
        <v>0</v>
      </c>
      <c r="E97" s="938">
        <f t="shared" si="26"/>
        <v>0</v>
      </c>
      <c r="F97" s="938">
        <f t="shared" si="26"/>
        <v>0</v>
      </c>
      <c r="G97" s="938">
        <f t="shared" si="26"/>
        <v>0</v>
      </c>
      <c r="H97" s="939">
        <f t="shared" si="26"/>
        <v>0</v>
      </c>
    </row>
    <row r="98" spans="2:8">
      <c r="B98" s="8" t="str">
        <f>IF(_rt3="","",_rt3)</f>
        <v/>
      </c>
      <c r="C98" s="938">
        <f>C33</f>
        <v>0</v>
      </c>
      <c r="D98" s="938">
        <f>D33</f>
        <v>0</v>
      </c>
      <c r="E98" s="938">
        <f t="shared" ref="E98:H98" si="27">E33</f>
        <v>0</v>
      </c>
      <c r="F98" s="938">
        <f t="shared" si="27"/>
        <v>0</v>
      </c>
      <c r="G98" s="938">
        <f t="shared" si="27"/>
        <v>0</v>
      </c>
      <c r="H98" s="939">
        <f t="shared" si="27"/>
        <v>0</v>
      </c>
    </row>
    <row r="99" spans="2:8">
      <c r="B99" s="8" t="str">
        <f>IF(_rt4="","",_rt4)</f>
        <v/>
      </c>
      <c r="C99" s="938">
        <f>C44</f>
        <v>0</v>
      </c>
      <c r="D99" s="938">
        <f>D44</f>
        <v>0</v>
      </c>
      <c r="E99" s="938">
        <f t="shared" ref="E99:H99" si="28">E44</f>
        <v>0</v>
      </c>
      <c r="F99" s="938">
        <f t="shared" si="28"/>
        <v>0</v>
      </c>
      <c r="G99" s="938">
        <f t="shared" si="28"/>
        <v>0</v>
      </c>
      <c r="H99" s="939">
        <f t="shared" si="28"/>
        <v>0</v>
      </c>
    </row>
    <row r="100" spans="2:8">
      <c r="B100" s="8" t="str">
        <f>IF(_rt5="","",_rt5)</f>
        <v/>
      </c>
      <c r="C100" s="938">
        <f>C55</f>
        <v>0</v>
      </c>
      <c r="D100" s="938">
        <f>D55</f>
        <v>0</v>
      </c>
      <c r="E100" s="938">
        <f t="shared" ref="E100:H100" si="29">E55</f>
        <v>0</v>
      </c>
      <c r="F100" s="938">
        <f t="shared" si="29"/>
        <v>0</v>
      </c>
      <c r="G100" s="938">
        <f t="shared" si="29"/>
        <v>0</v>
      </c>
      <c r="H100" s="939">
        <f t="shared" si="29"/>
        <v>0</v>
      </c>
    </row>
    <row r="101" spans="2:8">
      <c r="B101" s="8" t="str">
        <f>IF(_rt6="","",_rt6)</f>
        <v/>
      </c>
      <c r="C101" s="938">
        <f>C66</f>
        <v>0</v>
      </c>
      <c r="D101" s="938">
        <f>D66</f>
        <v>0</v>
      </c>
      <c r="E101" s="938">
        <f t="shared" ref="E101:H101" si="30">E66</f>
        <v>0</v>
      </c>
      <c r="F101" s="938">
        <f t="shared" si="30"/>
        <v>0</v>
      </c>
      <c r="G101" s="938">
        <f t="shared" si="30"/>
        <v>0</v>
      </c>
      <c r="H101" s="939">
        <f t="shared" si="30"/>
        <v>0</v>
      </c>
    </row>
    <row r="102" spans="2:8">
      <c r="B102" s="8" t="str">
        <f>IF(_rt7="","",_rt7)</f>
        <v/>
      </c>
      <c r="C102" s="938">
        <f>C77</f>
        <v>0</v>
      </c>
      <c r="D102" s="938">
        <f>D77</f>
        <v>0</v>
      </c>
      <c r="E102" s="938">
        <f t="shared" ref="E102:H102" si="31">E77</f>
        <v>0</v>
      </c>
      <c r="F102" s="938">
        <f t="shared" si="31"/>
        <v>0</v>
      </c>
      <c r="G102" s="938">
        <f t="shared" si="31"/>
        <v>0</v>
      </c>
      <c r="H102" s="939">
        <f t="shared" si="31"/>
        <v>0</v>
      </c>
    </row>
    <row r="103" spans="2:8">
      <c r="B103" s="630"/>
      <c r="C103" s="941"/>
      <c r="D103" s="941"/>
      <c r="E103" s="941"/>
      <c r="F103" s="941"/>
      <c r="G103" s="941"/>
      <c r="H103" s="942"/>
    </row>
    <row r="104" spans="2:8">
      <c r="B104" s="2"/>
      <c r="C104" s="938"/>
      <c r="D104" s="938"/>
      <c r="E104" s="938"/>
      <c r="F104" s="938"/>
      <c r="G104" s="938"/>
      <c r="H104" s="938"/>
    </row>
    <row r="105" spans="2:8">
      <c r="B105" s="589" t="s">
        <v>1459</v>
      </c>
      <c r="C105" s="984"/>
      <c r="D105" s="984"/>
      <c r="E105" s="984"/>
      <c r="F105" s="984"/>
      <c r="G105" s="984"/>
      <c r="H105" s="984"/>
    </row>
    <row r="106" spans="2:8">
      <c r="B106" s="950" t="str">
        <f>IF(_rt1="","",_rt1)</f>
        <v/>
      </c>
      <c r="C106" s="951">
        <f>SUMIF(Summary_Services!$F$6:$F$105,Summary_HCW!$B106,Summary_Services!Y$6:Y$105)</f>
        <v>0</v>
      </c>
      <c r="D106" s="951">
        <f>SUMIF(Summary_Services!$F$6:$F$105,Summary_HCW!$B106,Summary_Services!Z$6:Z$105)</f>
        <v>0</v>
      </c>
      <c r="E106" s="951">
        <f>SUMIF(Summary_Services!$F$6:$F$105,Summary_HCW!$B106,Summary_Services!AA$6:AA$105)</f>
        <v>0</v>
      </c>
      <c r="F106" s="951">
        <f>SUMIF(Summary_Services!$F$6:$F$105,Summary_HCW!$B106,Summary_Services!AB$6:AB$105)</f>
        <v>0</v>
      </c>
      <c r="G106" s="951">
        <f>SUMIF(Summary_Services!$F$6:$F$105,Summary_HCW!$B106,Summary_Services!AC$6:AC$105)</f>
        <v>0</v>
      </c>
      <c r="H106" s="952">
        <f>SUMIF(Summary_Services!$F$6:$F$105,Summary_HCW!$B106,Summary_Services!AD$6:AD$105)</f>
        <v>0</v>
      </c>
    </row>
    <row r="107" spans="2:8">
      <c r="B107" s="953" t="str">
        <f>IF(_rt2="","",_rt2)</f>
        <v/>
      </c>
      <c r="C107" s="954">
        <f>SUMIF(Summary_Services!$F$6:$F$105,Summary_HCW!$B107,Summary_Services!Y$6:Y$105)</f>
        <v>0</v>
      </c>
      <c r="D107" s="954">
        <f>SUMIF(Summary_Services!$F$6:$F$105,Summary_HCW!$B107,Summary_Services!Z$6:Z$105)</f>
        <v>0</v>
      </c>
      <c r="E107" s="954">
        <f>SUMIF(Summary_Services!$F$6:$F$105,Summary_HCW!$B107,Summary_Services!AA$6:AA$105)</f>
        <v>0</v>
      </c>
      <c r="F107" s="954">
        <f>SUMIF(Summary_Services!$F$6:$F$105,Summary_HCW!$B107,Summary_Services!AB$6:AB$105)</f>
        <v>0</v>
      </c>
      <c r="G107" s="954">
        <f>SUMIF(Summary_Services!$F$6:$F$105,Summary_HCW!$B107,Summary_Services!AC$6:AC$105)</f>
        <v>0</v>
      </c>
      <c r="H107" s="955">
        <f>SUMIF(Summary_Services!$F$6:$F$105,Summary_HCW!$B107,Summary_Services!AD$6:AD$105)</f>
        <v>0</v>
      </c>
    </row>
    <row r="108" spans="2:8">
      <c r="B108" s="953" t="str">
        <f>IF(_rt3="","",_rt3)</f>
        <v/>
      </c>
      <c r="C108" s="954">
        <f>SUMIF(Summary_Services!$F$6:$F$105,Summary_HCW!$B108,Summary_Services!Y$6:Y$105)</f>
        <v>0</v>
      </c>
      <c r="D108" s="954">
        <f>SUMIF(Summary_Services!$F$6:$F$105,Summary_HCW!$B108,Summary_Services!Z$6:Z$105)</f>
        <v>0</v>
      </c>
      <c r="E108" s="954">
        <f>SUMIF(Summary_Services!$F$6:$F$105,Summary_HCW!$B108,Summary_Services!AA$6:AA$105)</f>
        <v>0</v>
      </c>
      <c r="F108" s="954">
        <f>SUMIF(Summary_Services!$F$6:$F$105,Summary_HCW!$B108,Summary_Services!AB$6:AB$105)</f>
        <v>0</v>
      </c>
      <c r="G108" s="954">
        <f>SUMIF(Summary_Services!$F$6:$F$105,Summary_HCW!$B108,Summary_Services!AC$6:AC$105)</f>
        <v>0</v>
      </c>
      <c r="H108" s="955">
        <f>SUMIF(Summary_Services!$F$6:$F$105,Summary_HCW!$B108,Summary_Services!AD$6:AD$105)</f>
        <v>0</v>
      </c>
    </row>
    <row r="109" spans="2:8">
      <c r="B109" s="953" t="str">
        <f>IF(_rt4="","",_rt4)</f>
        <v/>
      </c>
      <c r="C109" s="954">
        <f>SUMIF(Summary_Services!$F$6:$F$105,Summary_HCW!$B109,Summary_Services!Y$6:Y$105)</f>
        <v>0</v>
      </c>
      <c r="D109" s="954">
        <f>SUMIF(Summary_Services!$F$6:$F$105,Summary_HCW!$B109,Summary_Services!Z$6:Z$105)</f>
        <v>0</v>
      </c>
      <c r="E109" s="954">
        <f>SUMIF(Summary_Services!$F$6:$F$105,Summary_HCW!$B109,Summary_Services!AA$6:AA$105)</f>
        <v>0</v>
      </c>
      <c r="F109" s="954">
        <f>SUMIF(Summary_Services!$F$6:$F$105,Summary_HCW!$B109,Summary_Services!AB$6:AB$105)</f>
        <v>0</v>
      </c>
      <c r="G109" s="954">
        <f>SUMIF(Summary_Services!$F$6:$F$105,Summary_HCW!$B109,Summary_Services!AC$6:AC$105)</f>
        <v>0</v>
      </c>
      <c r="H109" s="955">
        <f>SUMIF(Summary_Services!$F$6:$F$105,Summary_HCW!$B109,Summary_Services!AD$6:AD$105)</f>
        <v>0</v>
      </c>
    </row>
    <row r="110" spans="2:8">
      <c r="B110" s="953" t="str">
        <f>IF(_rt5="","",_rt5)</f>
        <v/>
      </c>
      <c r="C110" s="954">
        <f>SUMIF(Summary_Services!$F$6:$F$105,Summary_HCW!$B110,Summary_Services!Y$6:Y$105)</f>
        <v>0</v>
      </c>
      <c r="D110" s="954">
        <f>SUMIF(Summary_Services!$F$6:$F$105,Summary_HCW!$B110,Summary_Services!Z$6:Z$105)</f>
        <v>0</v>
      </c>
      <c r="E110" s="954">
        <f>SUMIF(Summary_Services!$F$6:$F$105,Summary_HCW!$B110,Summary_Services!AA$6:AA$105)</f>
        <v>0</v>
      </c>
      <c r="F110" s="954">
        <f>SUMIF(Summary_Services!$F$6:$F$105,Summary_HCW!$B110,Summary_Services!AB$6:AB$105)</f>
        <v>0</v>
      </c>
      <c r="G110" s="954">
        <f>SUMIF(Summary_Services!$F$6:$F$105,Summary_HCW!$B110,Summary_Services!AC$6:AC$105)</f>
        <v>0</v>
      </c>
      <c r="H110" s="955">
        <f>SUMIF(Summary_Services!$F$6:$F$105,Summary_HCW!$B110,Summary_Services!AD$6:AD$105)</f>
        <v>0</v>
      </c>
    </row>
    <row r="111" spans="2:8">
      <c r="B111" s="953" t="str">
        <f>IF(_rt6="","",_rt6)</f>
        <v/>
      </c>
      <c r="C111" s="954">
        <f>SUMIF(Summary_Services!$F$6:$F$105,Summary_HCW!$B111,Summary_Services!Y$6:Y$105)</f>
        <v>0</v>
      </c>
      <c r="D111" s="954">
        <f>SUMIF(Summary_Services!$F$6:$F$105,Summary_HCW!$B111,Summary_Services!Z$6:Z$105)</f>
        <v>0</v>
      </c>
      <c r="E111" s="954">
        <f>SUMIF(Summary_Services!$F$6:$F$105,Summary_HCW!$B111,Summary_Services!AA$6:AA$105)</f>
        <v>0</v>
      </c>
      <c r="F111" s="954">
        <f>SUMIF(Summary_Services!$F$6:$F$105,Summary_HCW!$B111,Summary_Services!AB$6:AB$105)</f>
        <v>0</v>
      </c>
      <c r="G111" s="954">
        <f>SUMIF(Summary_Services!$F$6:$F$105,Summary_HCW!$B111,Summary_Services!AC$6:AC$105)</f>
        <v>0</v>
      </c>
      <c r="H111" s="955">
        <f>SUMIF(Summary_Services!$F$6:$F$105,Summary_HCW!$B111,Summary_Services!AD$6:AD$105)</f>
        <v>0</v>
      </c>
    </row>
    <row r="112" spans="2:8">
      <c r="B112" s="953" t="str">
        <f>IF(_rt7="","",_rt7)</f>
        <v/>
      </c>
      <c r="C112" s="954">
        <f>SUMIF(Summary_Services!$F$6:$F$105,Summary_HCW!$B112,Summary_Services!Y$6:Y$105)</f>
        <v>0</v>
      </c>
      <c r="D112" s="954">
        <f>SUMIF(Summary_Services!$F$6:$F$105,Summary_HCW!$B112,Summary_Services!Z$6:Z$105)</f>
        <v>0</v>
      </c>
      <c r="E112" s="954">
        <f>SUMIF(Summary_Services!$F$6:$F$105,Summary_HCW!$B112,Summary_Services!AA$6:AA$105)</f>
        <v>0</v>
      </c>
      <c r="F112" s="954">
        <f>SUMIF(Summary_Services!$F$6:$F$105,Summary_HCW!$B112,Summary_Services!AB$6:AB$105)</f>
        <v>0</v>
      </c>
      <c r="G112" s="954">
        <f>SUMIF(Summary_Services!$F$6:$F$105,Summary_HCW!$B112,Summary_Services!AC$6:AC$105)</f>
        <v>0</v>
      </c>
      <c r="H112" s="955">
        <f>SUMIF(Summary_Services!$F$6:$F$105,Summary_HCW!$B112,Summary_Services!AD$6:AD$105)</f>
        <v>0</v>
      </c>
    </row>
    <row r="113" spans="2:8">
      <c r="B113" s="956"/>
      <c r="C113" s="954"/>
      <c r="D113" s="954"/>
      <c r="E113" s="954"/>
      <c r="F113" s="954"/>
      <c r="G113" s="954"/>
      <c r="H113" s="955"/>
    </row>
    <row r="114" spans="2:8">
      <c r="B114" s="957" t="s">
        <v>1345</v>
      </c>
      <c r="C114" s="958">
        <f>SUM(C106:C112)</f>
        <v>0</v>
      </c>
      <c r="D114" s="958">
        <f t="shared" ref="D114:H114" si="32">SUM(D106:D112)</f>
        <v>0</v>
      </c>
      <c r="E114" s="958">
        <f t="shared" si="32"/>
        <v>0</v>
      </c>
      <c r="F114" s="958">
        <f t="shared" si="32"/>
        <v>0</v>
      </c>
      <c r="G114" s="958">
        <f t="shared" si="32"/>
        <v>0</v>
      </c>
      <c r="H114" s="959">
        <f t="shared" si="32"/>
        <v>0</v>
      </c>
    </row>
    <row r="115" spans="2:8">
      <c r="C115" s="495"/>
      <c r="D115" s="495"/>
      <c r="E115" s="495"/>
      <c r="F115" s="495"/>
      <c r="G115" s="495"/>
      <c r="H115" s="495"/>
    </row>
    <row r="118" spans="2:8">
      <c r="C118" s="368"/>
      <c r="D118" s="368"/>
      <c r="E118" s="368"/>
      <c r="F118" s="368"/>
      <c r="G118" s="368"/>
      <c r="H118" s="368"/>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2060"/>
  </sheetPr>
  <dimension ref="A1:AJ408"/>
  <sheetViews>
    <sheetView zoomScale="80" zoomScaleNormal="80" workbookViewId="0">
      <pane xSplit="1" ySplit="5" topLeftCell="B6" activePane="bottomRight" state="frozen"/>
      <selection activeCell="E12" sqref="E12"/>
      <selection pane="topRight" activeCell="E12" sqref="E12"/>
      <selection pane="bottomLeft" activeCell="E12" sqref="E12"/>
      <selection pane="bottomRight" activeCell="E12" sqref="E12"/>
    </sheetView>
  </sheetViews>
  <sheetFormatPr baseColWidth="10" defaultColWidth="17.21875" defaultRowHeight="14.4"/>
  <cols>
    <col min="1" max="1" width="47.109375" style="90" bestFit="1" customWidth="1"/>
    <col min="2" max="2" width="15" style="90" customWidth="1"/>
    <col min="3" max="3" width="15.21875" style="90" customWidth="1"/>
    <col min="4" max="4" width="13.21875" style="90" customWidth="1"/>
    <col min="5" max="7" width="9.6640625" style="90" bestFit="1" customWidth="1"/>
    <col min="8" max="8" width="17.21875" style="90"/>
    <col min="9" max="14" width="17.109375" style="90" bestFit="1" customWidth="1"/>
    <col min="15" max="15" width="9.21875" style="90" customWidth="1"/>
    <col min="16" max="16" width="3.109375" style="90" bestFit="1" customWidth="1"/>
    <col min="17" max="20" width="11.21875" style="90" bestFit="1" customWidth="1"/>
    <col min="21" max="21" width="18.21875" style="90" customWidth="1"/>
    <col min="22" max="22" width="13.109375" style="90" customWidth="1"/>
    <col min="23" max="23" width="8.109375" style="90" customWidth="1"/>
    <col min="24" max="29" width="12.88671875" style="90" bestFit="1" customWidth="1"/>
    <col min="30" max="30" width="17.21875" style="90"/>
    <col min="31" max="31" width="13.21875" style="90" bestFit="1" customWidth="1"/>
    <col min="32" max="34" width="13.77734375" style="90" bestFit="1" customWidth="1"/>
    <col min="35" max="36" width="13.21875" style="90" bestFit="1" customWidth="1"/>
    <col min="37" max="16384" width="17.21875" style="90"/>
  </cols>
  <sheetData>
    <row r="1" spans="1:36" s="318" customFormat="1" ht="24" customHeight="1">
      <c r="A1" s="314" t="str">
        <f>"ASSISTIVE PRODUCTS QUANTIFICATION ("&amp;currency_enter&amp;")"</f>
        <v>ASSISTIVE PRODUCTS QUANTIFICATION ()</v>
      </c>
      <c r="K1" s="332"/>
      <c r="L1" s="333"/>
      <c r="M1" s="333"/>
    </row>
    <row r="2" spans="1:36" s="215" customFormat="1" ht="18">
      <c r="A2" s="50" t="s">
        <v>598</v>
      </c>
      <c r="K2" s="216"/>
      <c r="L2" s="217"/>
      <c r="M2" s="217"/>
    </row>
    <row r="3" spans="1:36" ht="15" thickBot="1">
      <c r="B3" s="1086" t="s">
        <v>1399</v>
      </c>
      <c r="C3" s="1086"/>
      <c r="D3" s="1086"/>
      <c r="E3" s="1086"/>
      <c r="F3" s="1086"/>
      <c r="G3" s="1086"/>
      <c r="I3" s="1086" t="s">
        <v>1400</v>
      </c>
      <c r="J3" s="1086"/>
      <c r="K3" s="1086"/>
      <c r="L3" s="1086"/>
      <c r="M3" s="1086"/>
      <c r="N3" s="1086"/>
      <c r="O3" s="592"/>
      <c r="Q3" s="1086" t="s">
        <v>1423</v>
      </c>
      <c r="R3" s="1086"/>
      <c r="S3" s="1086"/>
      <c r="T3" s="1086"/>
      <c r="U3" s="1086"/>
      <c r="V3" s="1086"/>
      <c r="X3" s="1086" t="s">
        <v>1461</v>
      </c>
      <c r="Y3" s="1086"/>
      <c r="Z3" s="1086"/>
      <c r="AA3" s="1086"/>
      <c r="AB3" s="1086"/>
      <c r="AC3" s="1086"/>
      <c r="AE3" s="1086" t="s">
        <v>1462</v>
      </c>
      <c r="AF3" s="1086"/>
      <c r="AG3" s="1086"/>
      <c r="AH3" s="1086"/>
      <c r="AI3" s="1086"/>
      <c r="AJ3" s="1086"/>
    </row>
    <row r="4" spans="1:36" ht="15" thickBot="1">
      <c r="B4" s="593">
        <f>baseline_year</f>
        <v>0</v>
      </c>
      <c r="C4" s="593">
        <f>baseline_year+1</f>
        <v>1</v>
      </c>
      <c r="D4" s="593">
        <f>C4+1</f>
        <v>2</v>
      </c>
      <c r="E4" s="593">
        <f>D4+1</f>
        <v>3</v>
      </c>
      <c r="F4" s="593">
        <f>E4+1</f>
        <v>4</v>
      </c>
      <c r="G4" s="593">
        <f>F4+1</f>
        <v>5</v>
      </c>
      <c r="H4" s="592"/>
      <c r="I4" s="593">
        <f>baseline_year</f>
        <v>0</v>
      </c>
      <c r="J4" s="593">
        <f>I4+1</f>
        <v>1</v>
      </c>
      <c r="K4" s="593">
        <f>J4+1</f>
        <v>2</v>
      </c>
      <c r="L4" s="593">
        <f>K4+1</f>
        <v>3</v>
      </c>
      <c r="M4" s="593">
        <f>L4+1</f>
        <v>4</v>
      </c>
      <c r="N4" s="593">
        <f>M4+1</f>
        <v>5</v>
      </c>
      <c r="O4" s="23"/>
      <c r="Q4" s="593">
        <f>baseline_year</f>
        <v>0</v>
      </c>
      <c r="R4" s="593">
        <f>baseline_year+1</f>
        <v>1</v>
      </c>
      <c r="S4" s="593">
        <f>R4+1</f>
        <v>2</v>
      </c>
      <c r="T4" s="593">
        <f>S4+1</f>
        <v>3</v>
      </c>
      <c r="U4" s="593">
        <f>T4+1</f>
        <v>4</v>
      </c>
      <c r="V4" s="593">
        <f>U4+1</f>
        <v>5</v>
      </c>
      <c r="W4" s="592"/>
      <c r="X4" s="593">
        <f>baseline_year</f>
        <v>0</v>
      </c>
      <c r="Y4" s="593">
        <f>X4+1</f>
        <v>1</v>
      </c>
      <c r="Z4" s="593">
        <f>Y4+1</f>
        <v>2</v>
      </c>
      <c r="AA4" s="593">
        <f>Z4+1</f>
        <v>3</v>
      </c>
      <c r="AB4" s="593">
        <f>AA4+1</f>
        <v>4</v>
      </c>
      <c r="AC4" s="593">
        <f>AB4+1</f>
        <v>5</v>
      </c>
      <c r="AE4" s="593">
        <f>baseline_year</f>
        <v>0</v>
      </c>
      <c r="AF4" s="593">
        <f>AE4+1</f>
        <v>1</v>
      </c>
      <c r="AG4" s="593">
        <f>AF4+1</f>
        <v>2</v>
      </c>
      <c r="AH4" s="593">
        <f>AG4+1</f>
        <v>3</v>
      </c>
      <c r="AI4" s="593">
        <f>AH4+1</f>
        <v>4</v>
      </c>
      <c r="AJ4" s="593">
        <f>AI4+1</f>
        <v>5</v>
      </c>
    </row>
    <row r="5" spans="1:36" ht="28.8">
      <c r="B5" s="594" t="s">
        <v>1401</v>
      </c>
      <c r="C5" s="594" t="s">
        <v>1401</v>
      </c>
      <c r="D5" s="594" t="s">
        <v>1401</v>
      </c>
      <c r="E5" s="594" t="s">
        <v>1401</v>
      </c>
      <c r="F5" s="594" t="s">
        <v>1401</v>
      </c>
      <c r="G5" s="594" t="s">
        <v>1401</v>
      </c>
      <c r="I5" s="594" t="s">
        <v>1402</v>
      </c>
      <c r="J5" s="594" t="s">
        <v>1402</v>
      </c>
      <c r="K5" s="594" t="s">
        <v>1402</v>
      </c>
      <c r="L5" s="594" t="s">
        <v>1402</v>
      </c>
      <c r="M5" s="594" t="s">
        <v>1402</v>
      </c>
      <c r="N5" s="594" t="s">
        <v>1402</v>
      </c>
      <c r="O5" s="595"/>
      <c r="X5" s="596" t="s">
        <v>1403</v>
      </c>
      <c r="Y5" s="596" t="s">
        <v>1403</v>
      </c>
      <c r="Z5" s="596" t="s">
        <v>1403</v>
      </c>
      <c r="AA5" s="596" t="s">
        <v>1403</v>
      </c>
      <c r="AB5" s="596" t="s">
        <v>1403</v>
      </c>
      <c r="AC5" s="596" t="s">
        <v>1403</v>
      </c>
      <c r="AD5" s="596"/>
      <c r="AE5" s="596" t="s">
        <v>1404</v>
      </c>
      <c r="AF5" s="596" t="s">
        <v>1404</v>
      </c>
      <c r="AG5" s="596" t="s">
        <v>1404</v>
      </c>
      <c r="AH5" s="596" t="s">
        <v>1404</v>
      </c>
      <c r="AI5" s="596" t="s">
        <v>1404</v>
      </c>
      <c r="AJ5" s="596" t="s">
        <v>1404</v>
      </c>
    </row>
    <row r="6" spans="1:36">
      <c r="A6" s="90">
        <f>Treatment_Guidelines!B9</f>
        <v>0</v>
      </c>
      <c r="B6" s="597">
        <f>Treatment_Guidelines!$C9</f>
        <v>0</v>
      </c>
      <c r="C6" s="597">
        <f t="shared" ref="C6:G15" si="0">B6</f>
        <v>0</v>
      </c>
      <c r="D6" s="597">
        <f t="shared" si="0"/>
        <v>0</v>
      </c>
      <c r="E6" s="597">
        <f t="shared" si="0"/>
        <v>0</v>
      </c>
      <c r="F6" s="597">
        <f t="shared" si="0"/>
        <v>0</v>
      </c>
      <c r="G6" s="597">
        <f t="shared" si="0"/>
        <v>0</v>
      </c>
      <c r="I6" s="597">
        <f>Treatment_Guidelines!$E9</f>
        <v>0</v>
      </c>
      <c r="J6" s="597">
        <f t="shared" ref="J6:J69" si="1">$I6*(1+inflation_rate)</f>
        <v>0</v>
      </c>
      <c r="K6" s="597">
        <f t="shared" ref="K6:K69" si="2">$I6*((1+inflation_rate)^2)</f>
        <v>0</v>
      </c>
      <c r="L6" s="597">
        <f t="shared" ref="L6:L69" si="3">$I6*((1+inflation_rate)^3)</f>
        <v>0</v>
      </c>
      <c r="M6" s="597">
        <f t="shared" ref="M6:M69" si="4">$I6*((1+inflation_rate)^4)</f>
        <v>0</v>
      </c>
      <c r="N6" s="597">
        <f t="shared" ref="N6:N69" si="5">$I6*((1+inflation_rate)^5)</f>
        <v>0</v>
      </c>
      <c r="O6" s="598"/>
      <c r="P6" s="90">
        <v>1</v>
      </c>
      <c r="Q6" s="71">
        <f>INDEX(Summary_Services!$B$6:$AF$105,$P6,26)</f>
        <v>0</v>
      </c>
      <c r="R6" s="71">
        <f>INDEX(Summary_Services!$B$6:$AF$105,$P6,27)</f>
        <v>0</v>
      </c>
      <c r="S6" s="71">
        <f>INDEX(Summary_Services!$B$6:$AF$105,$P6,28)</f>
        <v>0</v>
      </c>
      <c r="T6" s="71">
        <f>INDEX(Summary_Services!$B$6:$AF$105,$P6,29)</f>
        <v>0</v>
      </c>
      <c r="U6" s="71">
        <f>INDEX(Summary_Services!$B$6:$AF$105,$P6,30)</f>
        <v>0</v>
      </c>
      <c r="V6" s="71">
        <f>INDEX(Summary_Services!$B$6:$AF$105,$P6,31)</f>
        <v>0</v>
      </c>
      <c r="X6" s="90">
        <f t="shared" ref="X6:AC21" si="6">B6*Q6</f>
        <v>0</v>
      </c>
      <c r="Y6" s="90">
        <f t="shared" si="6"/>
        <v>0</v>
      </c>
      <c r="Z6" s="90">
        <f t="shared" si="6"/>
        <v>0</v>
      </c>
      <c r="AA6" s="90">
        <f t="shared" si="6"/>
        <v>0</v>
      </c>
      <c r="AB6" s="90">
        <f t="shared" si="6"/>
        <v>0</v>
      </c>
      <c r="AC6" s="90">
        <f t="shared" si="6"/>
        <v>0</v>
      </c>
      <c r="AE6" s="71">
        <f t="shared" ref="AE6:AJ21" si="7">I6*Q6</f>
        <v>0</v>
      </c>
      <c r="AF6" s="71">
        <f t="shared" si="7"/>
        <v>0</v>
      </c>
      <c r="AG6" s="71">
        <f t="shared" si="7"/>
        <v>0</v>
      </c>
      <c r="AH6" s="71">
        <f t="shared" si="7"/>
        <v>0</v>
      </c>
      <c r="AI6" s="71">
        <f t="shared" si="7"/>
        <v>0</v>
      </c>
      <c r="AJ6" s="71">
        <f t="shared" si="7"/>
        <v>0</v>
      </c>
    </row>
    <row r="7" spans="1:36">
      <c r="A7" s="90">
        <f>Treatment_Guidelines!B10</f>
        <v>0</v>
      </c>
      <c r="B7" s="597">
        <f>Treatment_Guidelines!$C10</f>
        <v>0</v>
      </c>
      <c r="C7" s="597">
        <f t="shared" si="0"/>
        <v>0</v>
      </c>
      <c r="D7" s="597">
        <f t="shared" si="0"/>
        <v>0</v>
      </c>
      <c r="E7" s="597">
        <f t="shared" si="0"/>
        <v>0</v>
      </c>
      <c r="F7" s="597">
        <f t="shared" si="0"/>
        <v>0</v>
      </c>
      <c r="G7" s="597">
        <f t="shared" si="0"/>
        <v>0</v>
      </c>
      <c r="I7" s="597">
        <f>Treatment_Guidelines!$E10</f>
        <v>0</v>
      </c>
      <c r="J7" s="597">
        <f t="shared" si="1"/>
        <v>0</v>
      </c>
      <c r="K7" s="597">
        <f t="shared" si="2"/>
        <v>0</v>
      </c>
      <c r="L7" s="597">
        <f t="shared" si="3"/>
        <v>0</v>
      </c>
      <c r="M7" s="597">
        <f t="shared" si="4"/>
        <v>0</v>
      </c>
      <c r="N7" s="597">
        <f t="shared" si="5"/>
        <v>0</v>
      </c>
      <c r="O7" s="598"/>
      <c r="P7" s="90">
        <v>1</v>
      </c>
      <c r="Q7" s="71">
        <f>INDEX(Summary_Services!$B$6:$AF$105,$P7,26)</f>
        <v>0</v>
      </c>
      <c r="R7" s="71">
        <f>INDEX(Summary_Services!$B$6:$AF$105,$P7,27)</f>
        <v>0</v>
      </c>
      <c r="S7" s="71">
        <f>INDEX(Summary_Services!$B$6:$AF$105,$P7,28)</f>
        <v>0</v>
      </c>
      <c r="T7" s="71">
        <f>INDEX(Summary_Services!$B$6:$AF$105,$P7,29)</f>
        <v>0</v>
      </c>
      <c r="U7" s="71">
        <f>INDEX(Summary_Services!$B$6:$AF$105,$P7,30)</f>
        <v>0</v>
      </c>
      <c r="V7" s="71">
        <f>INDEX(Summary_Services!$B$6:$AF$105,$P7,31)</f>
        <v>0</v>
      </c>
      <c r="X7" s="90">
        <f t="shared" si="6"/>
        <v>0</v>
      </c>
      <c r="Y7" s="90">
        <f t="shared" si="6"/>
        <v>0</v>
      </c>
      <c r="Z7" s="90">
        <f t="shared" si="6"/>
        <v>0</v>
      </c>
      <c r="AA7" s="90">
        <f t="shared" si="6"/>
        <v>0</v>
      </c>
      <c r="AB7" s="90">
        <f t="shared" si="6"/>
        <v>0</v>
      </c>
      <c r="AC7" s="90">
        <f t="shared" si="6"/>
        <v>0</v>
      </c>
      <c r="AE7" s="71">
        <f t="shared" si="7"/>
        <v>0</v>
      </c>
      <c r="AF7" s="71">
        <f t="shared" si="7"/>
        <v>0</v>
      </c>
      <c r="AG7" s="71">
        <f t="shared" si="7"/>
        <v>0</v>
      </c>
      <c r="AH7" s="71">
        <f t="shared" si="7"/>
        <v>0</v>
      </c>
      <c r="AI7" s="71">
        <f t="shared" si="7"/>
        <v>0</v>
      </c>
      <c r="AJ7" s="71">
        <f t="shared" si="7"/>
        <v>0</v>
      </c>
    </row>
    <row r="8" spans="1:36">
      <c r="A8" s="90">
        <f>Treatment_Guidelines!B11</f>
        <v>0</v>
      </c>
      <c r="B8" s="597">
        <f>Treatment_Guidelines!$C11</f>
        <v>0</v>
      </c>
      <c r="C8" s="597">
        <f t="shared" si="0"/>
        <v>0</v>
      </c>
      <c r="D8" s="597">
        <f t="shared" si="0"/>
        <v>0</v>
      </c>
      <c r="E8" s="597">
        <f t="shared" si="0"/>
        <v>0</v>
      </c>
      <c r="F8" s="597">
        <f t="shared" si="0"/>
        <v>0</v>
      </c>
      <c r="G8" s="597">
        <f t="shared" si="0"/>
        <v>0</v>
      </c>
      <c r="I8" s="597">
        <f>Treatment_Guidelines!$E11</f>
        <v>0</v>
      </c>
      <c r="J8" s="597">
        <f t="shared" si="1"/>
        <v>0</v>
      </c>
      <c r="K8" s="597">
        <f t="shared" si="2"/>
        <v>0</v>
      </c>
      <c r="L8" s="597">
        <f t="shared" si="3"/>
        <v>0</v>
      </c>
      <c r="M8" s="597">
        <f t="shared" si="4"/>
        <v>0</v>
      </c>
      <c r="N8" s="597">
        <f t="shared" si="5"/>
        <v>0</v>
      </c>
      <c r="O8" s="598"/>
      <c r="P8" s="90">
        <v>1</v>
      </c>
      <c r="Q8" s="71">
        <f>INDEX(Summary_Services!$B$6:$AF$105,$P8,26)</f>
        <v>0</v>
      </c>
      <c r="R8" s="71">
        <f>INDEX(Summary_Services!$B$6:$AF$105,$P8,27)</f>
        <v>0</v>
      </c>
      <c r="S8" s="71">
        <f>INDEX(Summary_Services!$B$6:$AF$105,$P8,28)</f>
        <v>0</v>
      </c>
      <c r="T8" s="71">
        <f>INDEX(Summary_Services!$B$6:$AF$105,$P8,29)</f>
        <v>0</v>
      </c>
      <c r="U8" s="71">
        <f>INDEX(Summary_Services!$B$6:$AF$105,$P8,30)</f>
        <v>0</v>
      </c>
      <c r="V8" s="71">
        <f>INDEX(Summary_Services!$B$6:$AF$105,$P8,31)</f>
        <v>0</v>
      </c>
      <c r="X8" s="90">
        <f t="shared" si="6"/>
        <v>0</v>
      </c>
      <c r="Y8" s="90">
        <f t="shared" si="6"/>
        <v>0</v>
      </c>
      <c r="Z8" s="90">
        <f t="shared" si="6"/>
        <v>0</v>
      </c>
      <c r="AA8" s="90">
        <f t="shared" si="6"/>
        <v>0</v>
      </c>
      <c r="AB8" s="90">
        <f t="shared" si="6"/>
        <v>0</v>
      </c>
      <c r="AC8" s="90">
        <f t="shared" si="6"/>
        <v>0</v>
      </c>
      <c r="AE8" s="71">
        <f t="shared" si="7"/>
        <v>0</v>
      </c>
      <c r="AF8" s="71">
        <f t="shared" si="7"/>
        <v>0</v>
      </c>
      <c r="AG8" s="71">
        <f t="shared" si="7"/>
        <v>0</v>
      </c>
      <c r="AH8" s="71">
        <f t="shared" si="7"/>
        <v>0</v>
      </c>
      <c r="AI8" s="71">
        <f t="shared" si="7"/>
        <v>0</v>
      </c>
      <c r="AJ8" s="71">
        <f t="shared" si="7"/>
        <v>0</v>
      </c>
    </row>
    <row r="9" spans="1:36">
      <c r="A9" s="90">
        <f>Treatment_Guidelines!B12</f>
        <v>0</v>
      </c>
      <c r="B9" s="597">
        <f>Treatment_Guidelines!$C12</f>
        <v>0</v>
      </c>
      <c r="C9" s="597">
        <f t="shared" si="0"/>
        <v>0</v>
      </c>
      <c r="D9" s="597">
        <f t="shared" si="0"/>
        <v>0</v>
      </c>
      <c r="E9" s="597">
        <f t="shared" si="0"/>
        <v>0</v>
      </c>
      <c r="F9" s="597">
        <f t="shared" si="0"/>
        <v>0</v>
      </c>
      <c r="G9" s="597">
        <f t="shared" si="0"/>
        <v>0</v>
      </c>
      <c r="I9" s="597">
        <f>Treatment_Guidelines!$E12</f>
        <v>0</v>
      </c>
      <c r="J9" s="597">
        <f t="shared" si="1"/>
        <v>0</v>
      </c>
      <c r="K9" s="597">
        <f t="shared" si="2"/>
        <v>0</v>
      </c>
      <c r="L9" s="597">
        <f t="shared" si="3"/>
        <v>0</v>
      </c>
      <c r="M9" s="597">
        <f t="shared" si="4"/>
        <v>0</v>
      </c>
      <c r="N9" s="597">
        <f t="shared" si="5"/>
        <v>0</v>
      </c>
      <c r="O9" s="598"/>
      <c r="P9" s="90">
        <v>1</v>
      </c>
      <c r="Q9" s="71">
        <f>INDEX(Summary_Services!$B$6:$AF$105,$P9,26)</f>
        <v>0</v>
      </c>
      <c r="R9" s="71">
        <f>INDEX(Summary_Services!$B$6:$AF$105,$P9,27)</f>
        <v>0</v>
      </c>
      <c r="S9" s="71">
        <f>INDEX(Summary_Services!$B$6:$AF$105,$P9,28)</f>
        <v>0</v>
      </c>
      <c r="T9" s="71">
        <f>INDEX(Summary_Services!$B$6:$AF$105,$P9,29)</f>
        <v>0</v>
      </c>
      <c r="U9" s="71">
        <f>INDEX(Summary_Services!$B$6:$AF$105,$P9,30)</f>
        <v>0</v>
      </c>
      <c r="V9" s="71">
        <f>INDEX(Summary_Services!$B$6:$AF$105,$P9,31)</f>
        <v>0</v>
      </c>
      <c r="X9" s="90">
        <f t="shared" si="6"/>
        <v>0</v>
      </c>
      <c r="Y9" s="90">
        <f t="shared" si="6"/>
        <v>0</v>
      </c>
      <c r="Z9" s="90">
        <f t="shared" si="6"/>
        <v>0</v>
      </c>
      <c r="AA9" s="90">
        <f t="shared" si="6"/>
        <v>0</v>
      </c>
      <c r="AB9" s="90">
        <f t="shared" si="6"/>
        <v>0</v>
      </c>
      <c r="AC9" s="90">
        <f t="shared" si="6"/>
        <v>0</v>
      </c>
      <c r="AE9" s="71">
        <f t="shared" si="7"/>
        <v>0</v>
      </c>
      <c r="AF9" s="71">
        <f t="shared" si="7"/>
        <v>0</v>
      </c>
      <c r="AG9" s="71">
        <f t="shared" si="7"/>
        <v>0</v>
      </c>
      <c r="AH9" s="71">
        <f t="shared" si="7"/>
        <v>0</v>
      </c>
      <c r="AI9" s="71">
        <f t="shared" si="7"/>
        <v>0</v>
      </c>
      <c r="AJ9" s="71">
        <f t="shared" si="7"/>
        <v>0</v>
      </c>
    </row>
    <row r="10" spans="1:36">
      <c r="A10" s="90">
        <f>Treatment_Guidelines!B13</f>
        <v>0</v>
      </c>
      <c r="B10" s="597">
        <f>Treatment_Guidelines!$C13</f>
        <v>0</v>
      </c>
      <c r="C10" s="597">
        <f t="shared" si="0"/>
        <v>0</v>
      </c>
      <c r="D10" s="597">
        <f t="shared" si="0"/>
        <v>0</v>
      </c>
      <c r="E10" s="597">
        <f t="shared" si="0"/>
        <v>0</v>
      </c>
      <c r="F10" s="597">
        <f t="shared" si="0"/>
        <v>0</v>
      </c>
      <c r="G10" s="597">
        <f t="shared" si="0"/>
        <v>0</v>
      </c>
      <c r="I10" s="597">
        <f>Treatment_Guidelines!$E13</f>
        <v>0</v>
      </c>
      <c r="J10" s="597">
        <f t="shared" si="1"/>
        <v>0</v>
      </c>
      <c r="K10" s="597">
        <f t="shared" si="2"/>
        <v>0</v>
      </c>
      <c r="L10" s="597">
        <f t="shared" si="3"/>
        <v>0</v>
      </c>
      <c r="M10" s="597">
        <f t="shared" si="4"/>
        <v>0</v>
      </c>
      <c r="N10" s="597">
        <f t="shared" si="5"/>
        <v>0</v>
      </c>
      <c r="O10" s="598"/>
      <c r="P10" s="90">
        <v>1</v>
      </c>
      <c r="Q10" s="71">
        <f>INDEX(Summary_Services!$B$6:$AF$105,$P10,26)</f>
        <v>0</v>
      </c>
      <c r="R10" s="71">
        <f>INDEX(Summary_Services!$B$6:$AF$105,$P10,27)</f>
        <v>0</v>
      </c>
      <c r="S10" s="71">
        <f>INDEX(Summary_Services!$B$6:$AF$105,$P10,28)</f>
        <v>0</v>
      </c>
      <c r="T10" s="71">
        <f>INDEX(Summary_Services!$B$6:$AF$105,$P10,29)</f>
        <v>0</v>
      </c>
      <c r="U10" s="71">
        <f>INDEX(Summary_Services!$B$6:$AF$105,$P10,30)</f>
        <v>0</v>
      </c>
      <c r="V10" s="71">
        <f>INDEX(Summary_Services!$B$6:$AF$105,$P10,31)</f>
        <v>0</v>
      </c>
      <c r="X10" s="90">
        <f t="shared" si="6"/>
        <v>0</v>
      </c>
      <c r="Y10" s="90">
        <f t="shared" si="6"/>
        <v>0</v>
      </c>
      <c r="Z10" s="90">
        <f t="shared" si="6"/>
        <v>0</v>
      </c>
      <c r="AA10" s="90">
        <f t="shared" si="6"/>
        <v>0</v>
      </c>
      <c r="AB10" s="90">
        <f t="shared" si="6"/>
        <v>0</v>
      </c>
      <c r="AC10" s="90">
        <f t="shared" si="6"/>
        <v>0</v>
      </c>
      <c r="AE10" s="71">
        <f t="shared" si="7"/>
        <v>0</v>
      </c>
      <c r="AF10" s="71">
        <f t="shared" si="7"/>
        <v>0</v>
      </c>
      <c r="AG10" s="71">
        <f t="shared" si="7"/>
        <v>0</v>
      </c>
      <c r="AH10" s="71">
        <f t="shared" si="7"/>
        <v>0</v>
      </c>
      <c r="AI10" s="71">
        <f t="shared" si="7"/>
        <v>0</v>
      </c>
      <c r="AJ10" s="71">
        <f t="shared" si="7"/>
        <v>0</v>
      </c>
    </row>
    <row r="11" spans="1:36">
      <c r="A11" s="90">
        <f>Treatment_Guidelines!B14</f>
        <v>0</v>
      </c>
      <c r="B11" s="597">
        <f>Treatment_Guidelines!$C14</f>
        <v>0</v>
      </c>
      <c r="C11" s="597">
        <f t="shared" si="0"/>
        <v>0</v>
      </c>
      <c r="D11" s="597">
        <f t="shared" si="0"/>
        <v>0</v>
      </c>
      <c r="E11" s="597">
        <f t="shared" si="0"/>
        <v>0</v>
      </c>
      <c r="F11" s="597">
        <f t="shared" si="0"/>
        <v>0</v>
      </c>
      <c r="G11" s="597">
        <f t="shared" si="0"/>
        <v>0</v>
      </c>
      <c r="I11" s="597">
        <f>Treatment_Guidelines!$E14</f>
        <v>0</v>
      </c>
      <c r="J11" s="597">
        <f t="shared" si="1"/>
        <v>0</v>
      </c>
      <c r="K11" s="597">
        <f t="shared" si="2"/>
        <v>0</v>
      </c>
      <c r="L11" s="597">
        <f t="shared" si="3"/>
        <v>0</v>
      </c>
      <c r="M11" s="597">
        <f t="shared" si="4"/>
        <v>0</v>
      </c>
      <c r="N11" s="597">
        <f t="shared" si="5"/>
        <v>0</v>
      </c>
      <c r="O11" s="598"/>
      <c r="P11" s="90">
        <v>1</v>
      </c>
      <c r="Q11" s="71">
        <f>INDEX(Summary_Services!$B$6:$AF$105,$P11,26)</f>
        <v>0</v>
      </c>
      <c r="R11" s="71">
        <f>INDEX(Summary_Services!$B$6:$AF$105,$P11,27)</f>
        <v>0</v>
      </c>
      <c r="S11" s="71">
        <f>INDEX(Summary_Services!$B$6:$AF$105,$P11,28)</f>
        <v>0</v>
      </c>
      <c r="T11" s="71">
        <f>INDEX(Summary_Services!$B$6:$AF$105,$P11,29)</f>
        <v>0</v>
      </c>
      <c r="U11" s="71">
        <f>INDEX(Summary_Services!$B$6:$AF$105,$P11,30)</f>
        <v>0</v>
      </c>
      <c r="V11" s="71">
        <f>INDEX(Summary_Services!$B$6:$AF$105,$P11,31)</f>
        <v>0</v>
      </c>
      <c r="X11" s="90">
        <f t="shared" si="6"/>
        <v>0</v>
      </c>
      <c r="Y11" s="90">
        <f t="shared" si="6"/>
        <v>0</v>
      </c>
      <c r="Z11" s="90">
        <f t="shared" si="6"/>
        <v>0</v>
      </c>
      <c r="AA11" s="90">
        <f t="shared" si="6"/>
        <v>0</v>
      </c>
      <c r="AB11" s="90">
        <f t="shared" si="6"/>
        <v>0</v>
      </c>
      <c r="AC11" s="90">
        <f t="shared" si="6"/>
        <v>0</v>
      </c>
      <c r="AE11" s="71">
        <f t="shared" si="7"/>
        <v>0</v>
      </c>
      <c r="AF11" s="71">
        <f t="shared" si="7"/>
        <v>0</v>
      </c>
      <c r="AG11" s="71">
        <f t="shared" si="7"/>
        <v>0</v>
      </c>
      <c r="AH11" s="71">
        <f t="shared" si="7"/>
        <v>0</v>
      </c>
      <c r="AI11" s="71">
        <f t="shared" si="7"/>
        <v>0</v>
      </c>
      <c r="AJ11" s="71">
        <f t="shared" si="7"/>
        <v>0</v>
      </c>
    </row>
    <row r="12" spans="1:36">
      <c r="A12" s="90">
        <f>Treatment_Guidelines!B15</f>
        <v>0</v>
      </c>
      <c r="B12" s="597">
        <f>Treatment_Guidelines!$C15</f>
        <v>0</v>
      </c>
      <c r="C12" s="597">
        <f t="shared" si="0"/>
        <v>0</v>
      </c>
      <c r="D12" s="597">
        <f t="shared" si="0"/>
        <v>0</v>
      </c>
      <c r="E12" s="597">
        <f t="shared" si="0"/>
        <v>0</v>
      </c>
      <c r="F12" s="597">
        <f t="shared" si="0"/>
        <v>0</v>
      </c>
      <c r="G12" s="597">
        <f t="shared" si="0"/>
        <v>0</v>
      </c>
      <c r="I12" s="597">
        <f>Treatment_Guidelines!$E15</f>
        <v>0</v>
      </c>
      <c r="J12" s="597">
        <f t="shared" si="1"/>
        <v>0</v>
      </c>
      <c r="K12" s="597">
        <f t="shared" si="2"/>
        <v>0</v>
      </c>
      <c r="L12" s="597">
        <f t="shared" si="3"/>
        <v>0</v>
      </c>
      <c r="M12" s="597">
        <f t="shared" si="4"/>
        <v>0</v>
      </c>
      <c r="N12" s="597">
        <f t="shared" si="5"/>
        <v>0</v>
      </c>
      <c r="O12" s="598"/>
      <c r="P12" s="90">
        <v>1</v>
      </c>
      <c r="Q12" s="71">
        <f>INDEX(Summary_Services!$B$6:$AF$105,$P12,26)</f>
        <v>0</v>
      </c>
      <c r="R12" s="71">
        <f>INDEX(Summary_Services!$B$6:$AF$105,$P12,27)</f>
        <v>0</v>
      </c>
      <c r="S12" s="71">
        <f>INDEX(Summary_Services!$B$6:$AF$105,$P12,28)</f>
        <v>0</v>
      </c>
      <c r="T12" s="71">
        <f>INDEX(Summary_Services!$B$6:$AF$105,$P12,29)</f>
        <v>0</v>
      </c>
      <c r="U12" s="71">
        <f>INDEX(Summary_Services!$B$6:$AF$105,$P12,30)</f>
        <v>0</v>
      </c>
      <c r="V12" s="71">
        <f>INDEX(Summary_Services!$B$6:$AF$105,$P12,31)</f>
        <v>0</v>
      </c>
      <c r="X12" s="90">
        <f t="shared" si="6"/>
        <v>0</v>
      </c>
      <c r="Y12" s="90">
        <f t="shared" si="6"/>
        <v>0</v>
      </c>
      <c r="Z12" s="90">
        <f t="shared" si="6"/>
        <v>0</v>
      </c>
      <c r="AA12" s="90">
        <f t="shared" si="6"/>
        <v>0</v>
      </c>
      <c r="AB12" s="90">
        <f t="shared" si="6"/>
        <v>0</v>
      </c>
      <c r="AC12" s="90">
        <f t="shared" si="6"/>
        <v>0</v>
      </c>
      <c r="AE12" s="71">
        <f t="shared" si="7"/>
        <v>0</v>
      </c>
      <c r="AF12" s="71">
        <f t="shared" si="7"/>
        <v>0</v>
      </c>
      <c r="AG12" s="71">
        <f t="shared" si="7"/>
        <v>0</v>
      </c>
      <c r="AH12" s="71">
        <f t="shared" si="7"/>
        <v>0</v>
      </c>
      <c r="AI12" s="71">
        <f t="shared" si="7"/>
        <v>0</v>
      </c>
      <c r="AJ12" s="71">
        <f t="shared" si="7"/>
        <v>0</v>
      </c>
    </row>
    <row r="13" spans="1:36">
      <c r="A13" s="90">
        <f>Treatment_Guidelines!B16</f>
        <v>0</v>
      </c>
      <c r="B13" s="597">
        <f>Treatment_Guidelines!$C16</f>
        <v>0</v>
      </c>
      <c r="C13" s="597">
        <f t="shared" ref="C13" si="8">B13</f>
        <v>0</v>
      </c>
      <c r="D13" s="597">
        <f t="shared" ref="D13" si="9">C13</f>
        <v>0</v>
      </c>
      <c r="E13" s="597">
        <f t="shared" ref="E13" si="10">D13</f>
        <v>0</v>
      </c>
      <c r="F13" s="597">
        <f t="shared" ref="F13" si="11">E13</f>
        <v>0</v>
      </c>
      <c r="G13" s="597">
        <f t="shared" ref="G13" si="12">F13</f>
        <v>0</v>
      </c>
      <c r="I13" s="597">
        <f>Treatment_Guidelines!$E16</f>
        <v>0</v>
      </c>
      <c r="J13" s="597">
        <f t="shared" si="1"/>
        <v>0</v>
      </c>
      <c r="K13" s="597">
        <f t="shared" si="2"/>
        <v>0</v>
      </c>
      <c r="L13" s="597">
        <f t="shared" si="3"/>
        <v>0</v>
      </c>
      <c r="M13" s="597">
        <f t="shared" si="4"/>
        <v>0</v>
      </c>
      <c r="N13" s="597">
        <f t="shared" si="5"/>
        <v>0</v>
      </c>
      <c r="O13" s="598"/>
      <c r="P13" s="90">
        <v>1</v>
      </c>
      <c r="Q13" s="71">
        <f>INDEX(Summary_Services!$B$6:$AF$105,$P13,26)</f>
        <v>0</v>
      </c>
      <c r="R13" s="71">
        <f>INDEX(Summary_Services!$B$6:$AF$105,$P13,27)</f>
        <v>0</v>
      </c>
      <c r="S13" s="71">
        <f>INDEX(Summary_Services!$B$6:$AF$105,$P13,28)</f>
        <v>0</v>
      </c>
      <c r="T13" s="71">
        <f>INDEX(Summary_Services!$B$6:$AF$105,$P13,29)</f>
        <v>0</v>
      </c>
      <c r="U13" s="71">
        <f>INDEX(Summary_Services!$B$6:$AF$105,$P13,30)</f>
        <v>0</v>
      </c>
      <c r="V13" s="71">
        <f>INDEX(Summary_Services!$B$6:$AF$105,$P13,31)</f>
        <v>0</v>
      </c>
      <c r="X13" s="90">
        <f t="shared" ref="X13" si="13">B13*Q13</f>
        <v>0</v>
      </c>
      <c r="Y13" s="90">
        <f t="shared" ref="Y13" si="14">C13*R13</f>
        <v>0</v>
      </c>
      <c r="Z13" s="90">
        <f t="shared" ref="Z13" si="15">D13*S13</f>
        <v>0</v>
      </c>
      <c r="AA13" s="90">
        <f t="shared" ref="AA13" si="16">E13*T13</f>
        <v>0</v>
      </c>
      <c r="AB13" s="90">
        <f t="shared" ref="AB13" si="17">F13*U13</f>
        <v>0</v>
      </c>
      <c r="AC13" s="90">
        <f t="shared" ref="AC13" si="18">G13*V13</f>
        <v>0</v>
      </c>
      <c r="AE13" s="71">
        <f t="shared" ref="AE13" si="19">I13*Q13</f>
        <v>0</v>
      </c>
      <c r="AF13" s="71">
        <f t="shared" ref="AF13" si="20">J13*R13</f>
        <v>0</v>
      </c>
      <c r="AG13" s="71">
        <f t="shared" ref="AG13" si="21">K13*S13</f>
        <v>0</v>
      </c>
      <c r="AH13" s="71">
        <f t="shared" ref="AH13" si="22">L13*T13</f>
        <v>0</v>
      </c>
      <c r="AI13" s="71">
        <f t="shared" ref="AI13" si="23">M13*U13</f>
        <v>0</v>
      </c>
      <c r="AJ13" s="71">
        <f t="shared" ref="AJ13" si="24">N13*V13</f>
        <v>0</v>
      </c>
    </row>
    <row r="14" spans="1:36" s="605" customFormat="1">
      <c r="A14" s="603" t="str">
        <f>Treatment_Guidelines!B24</f>
        <v xml:space="preserve">Single vision spectales </v>
      </c>
      <c r="B14" s="604" t="e">
        <f>Treatment_Guidelines!D24</f>
        <v>#N/A</v>
      </c>
      <c r="C14" s="604" t="e">
        <f t="shared" si="0"/>
        <v>#N/A</v>
      </c>
      <c r="D14" s="604" t="e">
        <f t="shared" si="0"/>
        <v>#N/A</v>
      </c>
      <c r="E14" s="604" t="e">
        <f t="shared" si="0"/>
        <v>#N/A</v>
      </c>
      <c r="F14" s="604" t="e">
        <f t="shared" si="0"/>
        <v>#N/A</v>
      </c>
      <c r="G14" s="604" t="e">
        <f t="shared" si="0"/>
        <v>#N/A</v>
      </c>
      <c r="I14" s="604" t="e">
        <f>Treatment_Guidelines!E24</f>
        <v>#N/A</v>
      </c>
      <c r="J14" s="604" t="e">
        <f t="shared" si="1"/>
        <v>#N/A</v>
      </c>
      <c r="K14" s="604" t="e">
        <f t="shared" si="2"/>
        <v>#N/A</v>
      </c>
      <c r="L14" s="604" t="e">
        <f t="shared" si="3"/>
        <v>#N/A</v>
      </c>
      <c r="M14" s="604" t="e">
        <f t="shared" si="4"/>
        <v>#N/A</v>
      </c>
      <c r="N14" s="604" t="e">
        <f t="shared" si="5"/>
        <v>#N/A</v>
      </c>
      <c r="O14" s="606"/>
      <c r="P14" s="605">
        <v>2</v>
      </c>
      <c r="Q14" s="607">
        <f>INDEX(Summary_Services!$B$6:$AF$105,$P14,26)</f>
        <v>0</v>
      </c>
      <c r="R14" s="607">
        <f>INDEX(Summary_Services!$B$6:$AF$105,$P14,27)</f>
        <v>0</v>
      </c>
      <c r="S14" s="607">
        <f>INDEX(Summary_Services!$B$6:$AF$105,$P14,28)</f>
        <v>0</v>
      </c>
      <c r="T14" s="607">
        <f>INDEX(Summary_Services!$B$6:$AF$105,$P14,29)</f>
        <v>0</v>
      </c>
      <c r="U14" s="607">
        <f>INDEX(Summary_Services!$B$6:$AF$105,$P14,30)</f>
        <v>0</v>
      </c>
      <c r="V14" s="607">
        <f>INDEX(Summary_Services!$B$6:$AF$105,$P14,31)</f>
        <v>0</v>
      </c>
      <c r="X14" s="605" t="e">
        <f t="shared" si="6"/>
        <v>#N/A</v>
      </c>
      <c r="Y14" s="605" t="e">
        <f t="shared" si="6"/>
        <v>#N/A</v>
      </c>
      <c r="Z14" s="605" t="e">
        <f t="shared" si="6"/>
        <v>#N/A</v>
      </c>
      <c r="AA14" s="605" t="e">
        <f t="shared" si="6"/>
        <v>#N/A</v>
      </c>
      <c r="AB14" s="605" t="e">
        <f t="shared" si="6"/>
        <v>#N/A</v>
      </c>
      <c r="AC14" s="605" t="e">
        <f t="shared" si="6"/>
        <v>#N/A</v>
      </c>
      <c r="AE14" s="607" t="e">
        <f t="shared" si="7"/>
        <v>#N/A</v>
      </c>
      <c r="AF14" s="607" t="e">
        <f t="shared" si="7"/>
        <v>#N/A</v>
      </c>
      <c r="AG14" s="607" t="e">
        <f t="shared" si="7"/>
        <v>#N/A</v>
      </c>
      <c r="AH14" s="607" t="e">
        <f t="shared" si="7"/>
        <v>#N/A</v>
      </c>
      <c r="AI14" s="607" t="e">
        <f t="shared" si="7"/>
        <v>#N/A</v>
      </c>
      <c r="AJ14" s="607" t="e">
        <f t="shared" si="7"/>
        <v>#N/A</v>
      </c>
    </row>
    <row r="15" spans="1:36">
      <c r="A15" s="608">
        <f>Treatment_Guidelines!B25</f>
        <v>0</v>
      </c>
      <c r="B15" s="597">
        <f>Treatment_Guidelines!D25</f>
        <v>0</v>
      </c>
      <c r="C15" s="597">
        <f t="shared" si="0"/>
        <v>0</v>
      </c>
      <c r="D15" s="597">
        <f t="shared" si="0"/>
        <v>0</v>
      </c>
      <c r="E15" s="597">
        <f t="shared" si="0"/>
        <v>0</v>
      </c>
      <c r="F15" s="597">
        <f t="shared" si="0"/>
        <v>0</v>
      </c>
      <c r="G15" s="597">
        <f t="shared" si="0"/>
        <v>0</v>
      </c>
      <c r="I15" s="597">
        <f>Treatment_Guidelines!E25</f>
        <v>0</v>
      </c>
      <c r="J15" s="597">
        <f t="shared" si="1"/>
        <v>0</v>
      </c>
      <c r="K15" s="597">
        <f t="shared" si="2"/>
        <v>0</v>
      </c>
      <c r="L15" s="597">
        <f t="shared" si="3"/>
        <v>0</v>
      </c>
      <c r="M15" s="597">
        <f t="shared" si="4"/>
        <v>0</v>
      </c>
      <c r="N15" s="597">
        <f t="shared" si="5"/>
        <v>0</v>
      </c>
      <c r="O15" s="598"/>
      <c r="P15" s="90">
        <v>2</v>
      </c>
      <c r="Q15" s="71">
        <f>INDEX(Summary_Services!$B$6:$AF$105,$P15,26)</f>
        <v>0</v>
      </c>
      <c r="R15" s="71">
        <f>INDEX(Summary_Services!$B$6:$AF$105,$P15,27)</f>
        <v>0</v>
      </c>
      <c r="S15" s="71">
        <f>INDEX(Summary_Services!$B$6:$AF$105,$P15,28)</f>
        <v>0</v>
      </c>
      <c r="T15" s="71">
        <f>INDEX(Summary_Services!$B$6:$AF$105,$P15,29)</f>
        <v>0</v>
      </c>
      <c r="U15" s="71">
        <f>INDEX(Summary_Services!$B$6:$AF$105,$P15,30)</f>
        <v>0</v>
      </c>
      <c r="V15" s="71">
        <f>INDEX(Summary_Services!$B$6:$AF$105,$P15,31)</f>
        <v>0</v>
      </c>
      <c r="X15" s="90">
        <f t="shared" si="6"/>
        <v>0</v>
      </c>
      <c r="Y15" s="90">
        <f t="shared" si="6"/>
        <v>0</v>
      </c>
      <c r="Z15" s="90">
        <f t="shared" si="6"/>
        <v>0</v>
      </c>
      <c r="AA15" s="90">
        <f t="shared" si="6"/>
        <v>0</v>
      </c>
      <c r="AB15" s="90">
        <f t="shared" si="6"/>
        <v>0</v>
      </c>
      <c r="AC15" s="90">
        <f t="shared" si="6"/>
        <v>0</v>
      </c>
      <c r="AE15" s="71">
        <f t="shared" si="7"/>
        <v>0</v>
      </c>
      <c r="AF15" s="71">
        <f t="shared" si="7"/>
        <v>0</v>
      </c>
      <c r="AG15" s="71">
        <f t="shared" si="7"/>
        <v>0</v>
      </c>
      <c r="AH15" s="71">
        <f t="shared" si="7"/>
        <v>0</v>
      </c>
      <c r="AI15" s="71">
        <f t="shared" si="7"/>
        <v>0</v>
      </c>
      <c r="AJ15" s="71">
        <f t="shared" si="7"/>
        <v>0</v>
      </c>
    </row>
    <row r="16" spans="1:36">
      <c r="A16" s="608">
        <f>Treatment_Guidelines!B26</f>
        <v>0</v>
      </c>
      <c r="B16" s="597">
        <f>Treatment_Guidelines!D26</f>
        <v>0</v>
      </c>
      <c r="C16" s="597">
        <f t="shared" ref="C16:C21" si="25">B16</f>
        <v>0</v>
      </c>
      <c r="D16" s="597">
        <f t="shared" ref="D16:D21" si="26">C16</f>
        <v>0</v>
      </c>
      <c r="E16" s="597">
        <f t="shared" ref="E16:E21" si="27">D16</f>
        <v>0</v>
      </c>
      <c r="F16" s="597">
        <f t="shared" ref="F16:F21" si="28">E16</f>
        <v>0</v>
      </c>
      <c r="G16" s="597">
        <f t="shared" ref="G16:G21" si="29">F16</f>
        <v>0</v>
      </c>
      <c r="I16" s="597">
        <f>Treatment_Guidelines!E26</f>
        <v>0</v>
      </c>
      <c r="J16" s="597">
        <f t="shared" si="1"/>
        <v>0</v>
      </c>
      <c r="K16" s="597">
        <f t="shared" si="2"/>
        <v>0</v>
      </c>
      <c r="L16" s="597">
        <f t="shared" si="3"/>
        <v>0</v>
      </c>
      <c r="M16" s="597">
        <f t="shared" si="4"/>
        <v>0</v>
      </c>
      <c r="N16" s="597">
        <f t="shared" si="5"/>
        <v>0</v>
      </c>
      <c r="O16" s="598"/>
      <c r="P16" s="90">
        <v>2</v>
      </c>
      <c r="Q16" s="71">
        <f>INDEX(Summary_Services!$B$6:$AF$105,$P16,26)</f>
        <v>0</v>
      </c>
      <c r="R16" s="71">
        <f>INDEX(Summary_Services!$B$6:$AF$105,$P16,27)</f>
        <v>0</v>
      </c>
      <c r="S16" s="71">
        <f>INDEX(Summary_Services!$B$6:$AF$105,$P16,28)</f>
        <v>0</v>
      </c>
      <c r="T16" s="71">
        <f>INDEX(Summary_Services!$B$6:$AF$105,$P16,29)</f>
        <v>0</v>
      </c>
      <c r="U16" s="71">
        <f>INDEX(Summary_Services!$B$6:$AF$105,$P16,30)</f>
        <v>0</v>
      </c>
      <c r="V16" s="71">
        <f>INDEX(Summary_Services!$B$6:$AF$105,$P16,31)</f>
        <v>0</v>
      </c>
      <c r="X16" s="90">
        <f t="shared" si="6"/>
        <v>0</v>
      </c>
      <c r="Y16" s="90">
        <f t="shared" si="6"/>
        <v>0</v>
      </c>
      <c r="Z16" s="90">
        <f t="shared" si="6"/>
        <v>0</v>
      </c>
      <c r="AA16" s="90">
        <f t="shared" si="6"/>
        <v>0</v>
      </c>
      <c r="AB16" s="90">
        <f t="shared" si="6"/>
        <v>0</v>
      </c>
      <c r="AC16" s="90">
        <f t="shared" si="6"/>
        <v>0</v>
      </c>
      <c r="AE16" s="71">
        <f t="shared" si="7"/>
        <v>0</v>
      </c>
      <c r="AF16" s="71">
        <f t="shared" si="7"/>
        <v>0</v>
      </c>
      <c r="AG16" s="71">
        <f t="shared" si="7"/>
        <v>0</v>
      </c>
      <c r="AH16" s="71">
        <f t="shared" si="7"/>
        <v>0</v>
      </c>
      <c r="AI16" s="71">
        <f t="shared" si="7"/>
        <v>0</v>
      </c>
      <c r="AJ16" s="71">
        <f t="shared" si="7"/>
        <v>0</v>
      </c>
    </row>
    <row r="17" spans="1:36">
      <c r="A17" s="608">
        <f>Treatment_Guidelines!B27</f>
        <v>0</v>
      </c>
      <c r="B17" s="597">
        <f>Treatment_Guidelines!D27</f>
        <v>0</v>
      </c>
      <c r="C17" s="597">
        <f t="shared" si="25"/>
        <v>0</v>
      </c>
      <c r="D17" s="597">
        <f t="shared" si="26"/>
        <v>0</v>
      </c>
      <c r="E17" s="597">
        <f t="shared" si="27"/>
        <v>0</v>
      </c>
      <c r="F17" s="597">
        <f t="shared" si="28"/>
        <v>0</v>
      </c>
      <c r="G17" s="597">
        <f t="shared" si="29"/>
        <v>0</v>
      </c>
      <c r="I17" s="597">
        <f>Treatment_Guidelines!E27</f>
        <v>0</v>
      </c>
      <c r="J17" s="597">
        <f t="shared" si="1"/>
        <v>0</v>
      </c>
      <c r="K17" s="597">
        <f t="shared" si="2"/>
        <v>0</v>
      </c>
      <c r="L17" s="597">
        <f t="shared" si="3"/>
        <v>0</v>
      </c>
      <c r="M17" s="597">
        <f t="shared" si="4"/>
        <v>0</v>
      </c>
      <c r="N17" s="597">
        <f t="shared" si="5"/>
        <v>0</v>
      </c>
      <c r="O17" s="598"/>
      <c r="P17" s="90">
        <v>2</v>
      </c>
      <c r="Q17" s="71">
        <f>INDEX(Summary_Services!$B$6:$AF$105,$P17,26)</f>
        <v>0</v>
      </c>
      <c r="R17" s="71">
        <f>INDEX(Summary_Services!$B$6:$AF$105,$P17,27)</f>
        <v>0</v>
      </c>
      <c r="S17" s="71">
        <f>INDEX(Summary_Services!$B$6:$AF$105,$P17,28)</f>
        <v>0</v>
      </c>
      <c r="T17" s="71">
        <f>INDEX(Summary_Services!$B$6:$AF$105,$P17,29)</f>
        <v>0</v>
      </c>
      <c r="U17" s="71">
        <f>INDEX(Summary_Services!$B$6:$AF$105,$P17,30)</f>
        <v>0</v>
      </c>
      <c r="V17" s="71">
        <f>INDEX(Summary_Services!$B$6:$AF$105,$P17,31)</f>
        <v>0</v>
      </c>
      <c r="X17" s="90">
        <f t="shared" si="6"/>
        <v>0</v>
      </c>
      <c r="Y17" s="90">
        <f t="shared" si="6"/>
        <v>0</v>
      </c>
      <c r="Z17" s="90">
        <f t="shared" si="6"/>
        <v>0</v>
      </c>
      <c r="AA17" s="90">
        <f t="shared" si="6"/>
        <v>0</v>
      </c>
      <c r="AB17" s="90">
        <f t="shared" si="6"/>
        <v>0</v>
      </c>
      <c r="AC17" s="90">
        <f t="shared" si="6"/>
        <v>0</v>
      </c>
      <c r="AE17" s="71">
        <f t="shared" si="7"/>
        <v>0</v>
      </c>
      <c r="AF17" s="71">
        <f t="shared" si="7"/>
        <v>0</v>
      </c>
      <c r="AG17" s="71">
        <f t="shared" si="7"/>
        <v>0</v>
      </c>
      <c r="AH17" s="71">
        <f t="shared" si="7"/>
        <v>0</v>
      </c>
      <c r="AI17" s="71">
        <f t="shared" si="7"/>
        <v>0</v>
      </c>
      <c r="AJ17" s="71">
        <f t="shared" si="7"/>
        <v>0</v>
      </c>
    </row>
    <row r="18" spans="1:36">
      <c r="A18" s="608">
        <f>Treatment_Guidelines!B28</f>
        <v>0</v>
      </c>
      <c r="B18" s="597">
        <f>Treatment_Guidelines!D28</f>
        <v>0</v>
      </c>
      <c r="C18" s="597">
        <f t="shared" si="25"/>
        <v>0</v>
      </c>
      <c r="D18" s="597">
        <f t="shared" si="26"/>
        <v>0</v>
      </c>
      <c r="E18" s="597">
        <f t="shared" si="27"/>
        <v>0</v>
      </c>
      <c r="F18" s="597">
        <f t="shared" si="28"/>
        <v>0</v>
      </c>
      <c r="G18" s="597">
        <f t="shared" si="29"/>
        <v>0</v>
      </c>
      <c r="I18" s="597">
        <f>Treatment_Guidelines!E28</f>
        <v>0</v>
      </c>
      <c r="J18" s="597">
        <f t="shared" si="1"/>
        <v>0</v>
      </c>
      <c r="K18" s="597">
        <f t="shared" si="2"/>
        <v>0</v>
      </c>
      <c r="L18" s="597">
        <f t="shared" si="3"/>
        <v>0</v>
      </c>
      <c r="M18" s="597">
        <f t="shared" si="4"/>
        <v>0</v>
      </c>
      <c r="N18" s="597">
        <f t="shared" si="5"/>
        <v>0</v>
      </c>
      <c r="O18" s="598"/>
      <c r="P18" s="90">
        <v>2</v>
      </c>
      <c r="Q18" s="71">
        <f>INDEX(Summary_Services!$B$6:$AF$105,$P18,26)</f>
        <v>0</v>
      </c>
      <c r="R18" s="71">
        <f>INDEX(Summary_Services!$B$6:$AF$105,$P18,27)</f>
        <v>0</v>
      </c>
      <c r="S18" s="71">
        <f>INDEX(Summary_Services!$B$6:$AF$105,$P18,28)</f>
        <v>0</v>
      </c>
      <c r="T18" s="71">
        <f>INDEX(Summary_Services!$B$6:$AF$105,$P18,29)</f>
        <v>0</v>
      </c>
      <c r="U18" s="71">
        <f>INDEX(Summary_Services!$B$6:$AF$105,$P18,30)</f>
        <v>0</v>
      </c>
      <c r="V18" s="71">
        <f>INDEX(Summary_Services!$B$6:$AF$105,$P18,31)</f>
        <v>0</v>
      </c>
      <c r="X18" s="90">
        <f t="shared" si="6"/>
        <v>0</v>
      </c>
      <c r="Y18" s="90">
        <f t="shared" si="6"/>
        <v>0</v>
      </c>
      <c r="Z18" s="90">
        <f t="shared" si="6"/>
        <v>0</v>
      </c>
      <c r="AA18" s="90">
        <f t="shared" si="6"/>
        <v>0</v>
      </c>
      <c r="AB18" s="90">
        <f t="shared" si="6"/>
        <v>0</v>
      </c>
      <c r="AC18" s="90">
        <f t="shared" si="6"/>
        <v>0</v>
      </c>
      <c r="AE18" s="71">
        <f t="shared" si="7"/>
        <v>0</v>
      </c>
      <c r="AF18" s="71">
        <f t="shared" si="7"/>
        <v>0</v>
      </c>
      <c r="AG18" s="71">
        <f t="shared" si="7"/>
        <v>0</v>
      </c>
      <c r="AH18" s="71">
        <f t="shared" si="7"/>
        <v>0</v>
      </c>
      <c r="AI18" s="71">
        <f t="shared" si="7"/>
        <v>0</v>
      </c>
      <c r="AJ18" s="71">
        <f t="shared" si="7"/>
        <v>0</v>
      </c>
    </row>
    <row r="19" spans="1:36">
      <c r="A19" s="608">
        <f>Treatment_Guidelines!B29</f>
        <v>0</v>
      </c>
      <c r="B19" s="597">
        <f>Treatment_Guidelines!D29</f>
        <v>0</v>
      </c>
      <c r="C19" s="597">
        <f t="shared" si="25"/>
        <v>0</v>
      </c>
      <c r="D19" s="597">
        <f t="shared" si="26"/>
        <v>0</v>
      </c>
      <c r="E19" s="597">
        <f t="shared" si="27"/>
        <v>0</v>
      </c>
      <c r="F19" s="597">
        <f t="shared" si="28"/>
        <v>0</v>
      </c>
      <c r="G19" s="597">
        <f t="shared" si="29"/>
        <v>0</v>
      </c>
      <c r="I19" s="597">
        <f>Treatment_Guidelines!E29</f>
        <v>0</v>
      </c>
      <c r="J19" s="597">
        <f t="shared" si="1"/>
        <v>0</v>
      </c>
      <c r="K19" s="597">
        <f t="shared" si="2"/>
        <v>0</v>
      </c>
      <c r="L19" s="597">
        <f t="shared" si="3"/>
        <v>0</v>
      </c>
      <c r="M19" s="597">
        <f t="shared" si="4"/>
        <v>0</v>
      </c>
      <c r="N19" s="597">
        <f t="shared" si="5"/>
        <v>0</v>
      </c>
      <c r="O19" s="598"/>
      <c r="P19" s="90">
        <v>2</v>
      </c>
      <c r="Q19" s="71">
        <f>INDEX(Summary_Services!$B$6:$AF$105,$P19,26)</f>
        <v>0</v>
      </c>
      <c r="R19" s="71">
        <f>INDEX(Summary_Services!$B$6:$AF$105,$P19,27)</f>
        <v>0</v>
      </c>
      <c r="S19" s="71">
        <f>INDEX(Summary_Services!$B$6:$AF$105,$P19,28)</f>
        <v>0</v>
      </c>
      <c r="T19" s="71">
        <f>INDEX(Summary_Services!$B$6:$AF$105,$P19,29)</f>
        <v>0</v>
      </c>
      <c r="U19" s="71">
        <f>INDEX(Summary_Services!$B$6:$AF$105,$P19,30)</f>
        <v>0</v>
      </c>
      <c r="V19" s="71">
        <f>INDEX(Summary_Services!$B$6:$AF$105,$P19,31)</f>
        <v>0</v>
      </c>
      <c r="X19" s="90">
        <f t="shared" si="6"/>
        <v>0</v>
      </c>
      <c r="Y19" s="90">
        <f t="shared" si="6"/>
        <v>0</v>
      </c>
      <c r="Z19" s="90">
        <f t="shared" si="6"/>
        <v>0</v>
      </c>
      <c r="AA19" s="90">
        <f t="shared" si="6"/>
        <v>0</v>
      </c>
      <c r="AB19" s="90">
        <f t="shared" si="6"/>
        <v>0</v>
      </c>
      <c r="AC19" s="90">
        <f t="shared" si="6"/>
        <v>0</v>
      </c>
      <c r="AE19" s="71">
        <f t="shared" si="7"/>
        <v>0</v>
      </c>
      <c r="AF19" s="71">
        <f t="shared" si="7"/>
        <v>0</v>
      </c>
      <c r="AG19" s="71">
        <f t="shared" si="7"/>
        <v>0</v>
      </c>
      <c r="AH19" s="71">
        <f t="shared" si="7"/>
        <v>0</v>
      </c>
      <c r="AI19" s="71">
        <f t="shared" si="7"/>
        <v>0</v>
      </c>
      <c r="AJ19" s="71">
        <f t="shared" si="7"/>
        <v>0</v>
      </c>
    </row>
    <row r="20" spans="1:36">
      <c r="A20" s="608">
        <f>Treatment_Guidelines!B30</f>
        <v>0</v>
      </c>
      <c r="B20" s="597">
        <f>Treatment_Guidelines!D30</f>
        <v>0</v>
      </c>
      <c r="C20" s="597">
        <f t="shared" si="25"/>
        <v>0</v>
      </c>
      <c r="D20" s="597">
        <f t="shared" si="26"/>
        <v>0</v>
      </c>
      <c r="E20" s="597">
        <f t="shared" si="27"/>
        <v>0</v>
      </c>
      <c r="F20" s="597">
        <f t="shared" si="28"/>
        <v>0</v>
      </c>
      <c r="G20" s="597">
        <f t="shared" si="29"/>
        <v>0</v>
      </c>
      <c r="I20" s="597">
        <f>Treatment_Guidelines!E30</f>
        <v>0</v>
      </c>
      <c r="J20" s="597">
        <f t="shared" si="1"/>
        <v>0</v>
      </c>
      <c r="K20" s="597">
        <f t="shared" si="2"/>
        <v>0</v>
      </c>
      <c r="L20" s="597">
        <f t="shared" si="3"/>
        <v>0</v>
      </c>
      <c r="M20" s="597">
        <f t="shared" si="4"/>
        <v>0</v>
      </c>
      <c r="N20" s="597">
        <f t="shared" si="5"/>
        <v>0</v>
      </c>
      <c r="O20" s="598"/>
      <c r="P20" s="90">
        <v>2</v>
      </c>
      <c r="Q20" s="71">
        <f>INDEX(Summary_Services!$B$6:$AF$105,$P20,26)</f>
        <v>0</v>
      </c>
      <c r="R20" s="71">
        <f>INDEX(Summary_Services!$B$6:$AF$105,$P20,27)</f>
        <v>0</v>
      </c>
      <c r="S20" s="71">
        <f>INDEX(Summary_Services!$B$6:$AF$105,$P20,28)</f>
        <v>0</v>
      </c>
      <c r="T20" s="71">
        <f>INDEX(Summary_Services!$B$6:$AF$105,$P20,29)</f>
        <v>0</v>
      </c>
      <c r="U20" s="71">
        <f>INDEX(Summary_Services!$B$6:$AF$105,$P20,30)</f>
        <v>0</v>
      </c>
      <c r="V20" s="71">
        <f>INDEX(Summary_Services!$B$6:$AF$105,$P20,31)</f>
        <v>0</v>
      </c>
      <c r="X20" s="90">
        <f t="shared" si="6"/>
        <v>0</v>
      </c>
      <c r="Y20" s="90">
        <f t="shared" si="6"/>
        <v>0</v>
      </c>
      <c r="Z20" s="90">
        <f t="shared" si="6"/>
        <v>0</v>
      </c>
      <c r="AA20" s="90">
        <f t="shared" si="6"/>
        <v>0</v>
      </c>
      <c r="AB20" s="90">
        <f t="shared" si="6"/>
        <v>0</v>
      </c>
      <c r="AC20" s="90">
        <f t="shared" si="6"/>
        <v>0</v>
      </c>
      <c r="AE20" s="71">
        <f t="shared" si="7"/>
        <v>0</v>
      </c>
      <c r="AF20" s="71">
        <f t="shared" si="7"/>
        <v>0</v>
      </c>
      <c r="AG20" s="71">
        <f t="shared" si="7"/>
        <v>0</v>
      </c>
      <c r="AH20" s="71">
        <f t="shared" si="7"/>
        <v>0</v>
      </c>
      <c r="AI20" s="71">
        <f t="shared" si="7"/>
        <v>0</v>
      </c>
      <c r="AJ20" s="71">
        <f t="shared" si="7"/>
        <v>0</v>
      </c>
    </row>
    <row r="21" spans="1:36" s="599" customFormat="1">
      <c r="A21" s="608">
        <f>Treatment_Guidelines!B31</f>
        <v>0</v>
      </c>
      <c r="B21" s="597">
        <f>Treatment_Guidelines!D31</f>
        <v>0</v>
      </c>
      <c r="C21" s="597">
        <f t="shared" si="25"/>
        <v>0</v>
      </c>
      <c r="D21" s="597">
        <f t="shared" si="26"/>
        <v>0</v>
      </c>
      <c r="E21" s="597">
        <f t="shared" si="27"/>
        <v>0</v>
      </c>
      <c r="F21" s="597">
        <f t="shared" si="28"/>
        <v>0</v>
      </c>
      <c r="G21" s="597">
        <f t="shared" si="29"/>
        <v>0</v>
      </c>
      <c r="I21" s="597">
        <f>Treatment_Guidelines!E31</f>
        <v>0</v>
      </c>
      <c r="J21" s="600">
        <f t="shared" si="1"/>
        <v>0</v>
      </c>
      <c r="K21" s="600">
        <f t="shared" si="2"/>
        <v>0</v>
      </c>
      <c r="L21" s="600">
        <f t="shared" si="3"/>
        <v>0</v>
      </c>
      <c r="M21" s="600">
        <f t="shared" si="4"/>
        <v>0</v>
      </c>
      <c r="N21" s="600">
        <f t="shared" si="5"/>
        <v>0</v>
      </c>
      <c r="O21" s="601"/>
      <c r="P21" s="599">
        <v>2</v>
      </c>
      <c r="Q21" s="71">
        <f>INDEX(Summary_Services!$B$6:$AF$105,$P21,26)</f>
        <v>0</v>
      </c>
      <c r="R21" s="71">
        <f>INDEX(Summary_Services!$B$6:$AF$105,$P21,27)</f>
        <v>0</v>
      </c>
      <c r="S21" s="71">
        <f>INDEX(Summary_Services!$B$6:$AF$105,$P21,28)</f>
        <v>0</v>
      </c>
      <c r="T21" s="71">
        <f>INDEX(Summary_Services!$B$6:$AF$105,$P21,29)</f>
        <v>0</v>
      </c>
      <c r="U21" s="71">
        <f>INDEX(Summary_Services!$B$6:$AF$105,$P21,30)</f>
        <v>0</v>
      </c>
      <c r="V21" s="71">
        <f>INDEX(Summary_Services!$B$6:$AF$105,$P21,31)</f>
        <v>0</v>
      </c>
      <c r="X21" s="599">
        <f t="shared" si="6"/>
        <v>0</v>
      </c>
      <c r="Y21" s="599">
        <f t="shared" si="6"/>
        <v>0</v>
      </c>
      <c r="Z21" s="599">
        <f t="shared" si="6"/>
        <v>0</v>
      </c>
      <c r="AA21" s="599">
        <f t="shared" si="6"/>
        <v>0</v>
      </c>
      <c r="AB21" s="599">
        <f t="shared" si="6"/>
        <v>0</v>
      </c>
      <c r="AC21" s="599">
        <f t="shared" si="6"/>
        <v>0</v>
      </c>
      <c r="AE21" s="602">
        <f t="shared" si="7"/>
        <v>0</v>
      </c>
      <c r="AF21" s="602">
        <f t="shared" si="7"/>
        <v>0</v>
      </c>
      <c r="AG21" s="602">
        <f t="shared" si="7"/>
        <v>0</v>
      </c>
      <c r="AH21" s="602">
        <f t="shared" si="7"/>
        <v>0</v>
      </c>
      <c r="AI21" s="602">
        <f t="shared" si="7"/>
        <v>0</v>
      </c>
      <c r="AJ21" s="602">
        <f t="shared" si="7"/>
        <v>0</v>
      </c>
    </row>
    <row r="22" spans="1:36" s="605" customFormat="1">
      <c r="A22" s="605">
        <f>Treatment_Guidelines!B39</f>
        <v>0</v>
      </c>
      <c r="B22" s="604">
        <f>Treatment_Guidelines!D39</f>
        <v>0</v>
      </c>
      <c r="C22" s="604">
        <f t="shared" ref="C22:G31" si="30">B22</f>
        <v>0</v>
      </c>
      <c r="D22" s="604">
        <f t="shared" si="30"/>
        <v>0</v>
      </c>
      <c r="E22" s="604">
        <f t="shared" si="30"/>
        <v>0</v>
      </c>
      <c r="F22" s="604">
        <f t="shared" si="30"/>
        <v>0</v>
      </c>
      <c r="G22" s="604">
        <f t="shared" si="30"/>
        <v>0</v>
      </c>
      <c r="I22" s="604">
        <f>Treatment_Guidelines!E39</f>
        <v>0</v>
      </c>
      <c r="J22" s="604">
        <f t="shared" si="1"/>
        <v>0</v>
      </c>
      <c r="K22" s="604">
        <f t="shared" si="2"/>
        <v>0</v>
      </c>
      <c r="L22" s="604">
        <f t="shared" si="3"/>
        <v>0</v>
      </c>
      <c r="M22" s="604">
        <f t="shared" si="4"/>
        <v>0</v>
      </c>
      <c r="N22" s="604">
        <f t="shared" si="5"/>
        <v>0</v>
      </c>
      <c r="O22" s="606"/>
      <c r="P22" s="605">
        <v>3</v>
      </c>
      <c r="Q22" s="607">
        <f>INDEX(Summary_Services!$B$6:$AF$105,$P22,26)</f>
        <v>0</v>
      </c>
      <c r="R22" s="607">
        <f>INDEX(Summary_Services!$B$6:$AF$105,$P22,27)</f>
        <v>0</v>
      </c>
      <c r="S22" s="607">
        <f>INDEX(Summary_Services!$B$6:$AF$105,$P22,28)</f>
        <v>0</v>
      </c>
      <c r="T22" s="607">
        <f>INDEX(Summary_Services!$B$6:$AF$105,$P22,29)</f>
        <v>0</v>
      </c>
      <c r="U22" s="607">
        <f>INDEX(Summary_Services!$B$6:$AF$105,$P22,30)</f>
        <v>0</v>
      </c>
      <c r="V22" s="607">
        <f>INDEX(Summary_Services!$B$6:$AF$105,$P22,31)</f>
        <v>0</v>
      </c>
      <c r="X22" s="605">
        <f t="shared" ref="X22:AC64" si="31">B22*Q22</f>
        <v>0</v>
      </c>
      <c r="Y22" s="605">
        <f t="shared" si="31"/>
        <v>0</v>
      </c>
      <c r="Z22" s="605">
        <f t="shared" si="31"/>
        <v>0</v>
      </c>
      <c r="AA22" s="605">
        <f t="shared" si="31"/>
        <v>0</v>
      </c>
      <c r="AB22" s="605">
        <f t="shared" si="31"/>
        <v>0</v>
      </c>
      <c r="AC22" s="605">
        <f t="shared" si="31"/>
        <v>0</v>
      </c>
      <c r="AE22" s="607">
        <f t="shared" ref="AE22:AJ64" si="32">I22*Q22</f>
        <v>0</v>
      </c>
      <c r="AF22" s="607">
        <f t="shared" si="32"/>
        <v>0</v>
      </c>
      <c r="AG22" s="607">
        <f t="shared" si="32"/>
        <v>0</v>
      </c>
      <c r="AH22" s="607">
        <f t="shared" si="32"/>
        <v>0</v>
      </c>
      <c r="AI22" s="607">
        <f t="shared" si="32"/>
        <v>0</v>
      </c>
      <c r="AJ22" s="607">
        <f t="shared" si="32"/>
        <v>0</v>
      </c>
    </row>
    <row r="23" spans="1:36">
      <c r="A23" s="90">
        <f>Treatment_Guidelines!B40</f>
        <v>0</v>
      </c>
      <c r="B23" s="597">
        <f>Treatment_Guidelines!D40</f>
        <v>0</v>
      </c>
      <c r="C23" s="597">
        <f t="shared" si="30"/>
        <v>0</v>
      </c>
      <c r="D23" s="597">
        <f t="shared" si="30"/>
        <v>0</v>
      </c>
      <c r="E23" s="597">
        <f t="shared" si="30"/>
        <v>0</v>
      </c>
      <c r="F23" s="597">
        <f t="shared" si="30"/>
        <v>0</v>
      </c>
      <c r="G23" s="597">
        <f t="shared" si="30"/>
        <v>0</v>
      </c>
      <c r="I23" s="597">
        <f>Treatment_Guidelines!E40</f>
        <v>0</v>
      </c>
      <c r="J23" s="597">
        <f t="shared" si="1"/>
        <v>0</v>
      </c>
      <c r="K23" s="597">
        <f t="shared" si="2"/>
        <v>0</v>
      </c>
      <c r="L23" s="597">
        <f t="shared" si="3"/>
        <v>0</v>
      </c>
      <c r="M23" s="597">
        <f t="shared" si="4"/>
        <v>0</v>
      </c>
      <c r="N23" s="597">
        <f t="shared" si="5"/>
        <v>0</v>
      </c>
      <c r="O23" s="598"/>
      <c r="P23" s="90">
        <v>3</v>
      </c>
      <c r="Q23" s="71">
        <f>INDEX(Summary_Services!$B$6:$AF$105,$P23,26)</f>
        <v>0</v>
      </c>
      <c r="R23" s="71">
        <f>INDEX(Summary_Services!$B$6:$AF$105,$P23,27)</f>
        <v>0</v>
      </c>
      <c r="S23" s="71">
        <f>INDEX(Summary_Services!$B$6:$AF$105,$P23,28)</f>
        <v>0</v>
      </c>
      <c r="T23" s="71">
        <f>INDEX(Summary_Services!$B$6:$AF$105,$P23,29)</f>
        <v>0</v>
      </c>
      <c r="U23" s="71">
        <f>INDEX(Summary_Services!$B$6:$AF$105,$P23,30)</f>
        <v>0</v>
      </c>
      <c r="V23" s="71">
        <f>INDEX(Summary_Services!$B$6:$AF$105,$P23,31)</f>
        <v>0</v>
      </c>
      <c r="X23" s="90">
        <f t="shared" si="31"/>
        <v>0</v>
      </c>
      <c r="Y23" s="90">
        <f t="shared" si="31"/>
        <v>0</v>
      </c>
      <c r="Z23" s="90">
        <f t="shared" si="31"/>
        <v>0</v>
      </c>
      <c r="AA23" s="90">
        <f t="shared" si="31"/>
        <v>0</v>
      </c>
      <c r="AB23" s="90">
        <f t="shared" si="31"/>
        <v>0</v>
      </c>
      <c r="AC23" s="90">
        <f t="shared" si="31"/>
        <v>0</v>
      </c>
      <c r="AE23" s="71">
        <f t="shared" si="32"/>
        <v>0</v>
      </c>
      <c r="AF23" s="71">
        <f t="shared" si="32"/>
        <v>0</v>
      </c>
      <c r="AG23" s="71">
        <f t="shared" si="32"/>
        <v>0</v>
      </c>
      <c r="AH23" s="71">
        <f t="shared" si="32"/>
        <v>0</v>
      </c>
      <c r="AI23" s="71">
        <f t="shared" si="32"/>
        <v>0</v>
      </c>
      <c r="AJ23" s="71">
        <f t="shared" si="32"/>
        <v>0</v>
      </c>
    </row>
    <row r="24" spans="1:36">
      <c r="A24" s="90">
        <f>Treatment_Guidelines!B41</f>
        <v>0</v>
      </c>
      <c r="B24" s="597">
        <f>Treatment_Guidelines!D41</f>
        <v>0</v>
      </c>
      <c r="C24" s="597">
        <f t="shared" ref="C24:C29" si="33">B24</f>
        <v>0</v>
      </c>
      <c r="D24" s="597">
        <f t="shared" ref="D24:D29" si="34">C24</f>
        <v>0</v>
      </c>
      <c r="E24" s="597">
        <f t="shared" ref="E24:E29" si="35">D24</f>
        <v>0</v>
      </c>
      <c r="F24" s="597">
        <f t="shared" ref="F24:F29" si="36">E24</f>
        <v>0</v>
      </c>
      <c r="G24" s="597">
        <f t="shared" ref="G24:G29" si="37">F24</f>
        <v>0</v>
      </c>
      <c r="I24" s="597">
        <f>Treatment_Guidelines!E41</f>
        <v>0</v>
      </c>
      <c r="J24" s="597">
        <f t="shared" si="1"/>
        <v>0</v>
      </c>
      <c r="K24" s="597">
        <f t="shared" si="2"/>
        <v>0</v>
      </c>
      <c r="L24" s="597">
        <f t="shared" si="3"/>
        <v>0</v>
      </c>
      <c r="M24" s="597">
        <f t="shared" si="4"/>
        <v>0</v>
      </c>
      <c r="N24" s="597">
        <f t="shared" si="5"/>
        <v>0</v>
      </c>
      <c r="O24" s="598"/>
      <c r="P24" s="90">
        <v>3</v>
      </c>
      <c r="Q24" s="71">
        <f>INDEX(Summary_Services!$B$6:$AF$105,$P24,26)</f>
        <v>0</v>
      </c>
      <c r="R24" s="71">
        <f>INDEX(Summary_Services!$B$6:$AF$105,$P24,27)</f>
        <v>0</v>
      </c>
      <c r="S24" s="71">
        <f>INDEX(Summary_Services!$B$6:$AF$105,$P24,28)</f>
        <v>0</v>
      </c>
      <c r="T24" s="71">
        <f>INDEX(Summary_Services!$B$6:$AF$105,$P24,29)</f>
        <v>0</v>
      </c>
      <c r="U24" s="71">
        <f>INDEX(Summary_Services!$B$6:$AF$105,$P24,30)</f>
        <v>0</v>
      </c>
      <c r="V24" s="71">
        <f>INDEX(Summary_Services!$B$6:$AF$105,$P24,31)</f>
        <v>0</v>
      </c>
      <c r="X24" s="90">
        <f t="shared" si="31"/>
        <v>0</v>
      </c>
      <c r="Y24" s="90">
        <f t="shared" si="31"/>
        <v>0</v>
      </c>
      <c r="Z24" s="90">
        <f t="shared" si="31"/>
        <v>0</v>
      </c>
      <c r="AA24" s="90">
        <f t="shared" si="31"/>
        <v>0</v>
      </c>
      <c r="AB24" s="90">
        <f t="shared" si="31"/>
        <v>0</v>
      </c>
      <c r="AC24" s="90">
        <f t="shared" si="31"/>
        <v>0</v>
      </c>
      <c r="AE24" s="71">
        <f t="shared" si="32"/>
        <v>0</v>
      </c>
      <c r="AF24" s="71">
        <f t="shared" si="32"/>
        <v>0</v>
      </c>
      <c r="AG24" s="71">
        <f t="shared" si="32"/>
        <v>0</v>
      </c>
      <c r="AH24" s="71">
        <f t="shared" si="32"/>
        <v>0</v>
      </c>
      <c r="AI24" s="71">
        <f t="shared" si="32"/>
        <v>0</v>
      </c>
      <c r="AJ24" s="71">
        <f t="shared" si="32"/>
        <v>0</v>
      </c>
    </row>
    <row r="25" spans="1:36">
      <c r="A25" s="90">
        <f>Treatment_Guidelines!B42</f>
        <v>0</v>
      </c>
      <c r="B25" s="597">
        <f>Treatment_Guidelines!D42</f>
        <v>0</v>
      </c>
      <c r="C25" s="597">
        <f t="shared" si="33"/>
        <v>0</v>
      </c>
      <c r="D25" s="597">
        <f t="shared" si="34"/>
        <v>0</v>
      </c>
      <c r="E25" s="597">
        <f t="shared" si="35"/>
        <v>0</v>
      </c>
      <c r="F25" s="597">
        <f t="shared" si="36"/>
        <v>0</v>
      </c>
      <c r="G25" s="597">
        <f t="shared" si="37"/>
        <v>0</v>
      </c>
      <c r="I25" s="597">
        <f>Treatment_Guidelines!E42</f>
        <v>0</v>
      </c>
      <c r="J25" s="597">
        <f t="shared" si="1"/>
        <v>0</v>
      </c>
      <c r="K25" s="597">
        <f t="shared" si="2"/>
        <v>0</v>
      </c>
      <c r="L25" s="597">
        <f t="shared" si="3"/>
        <v>0</v>
      </c>
      <c r="M25" s="597">
        <f t="shared" si="4"/>
        <v>0</v>
      </c>
      <c r="N25" s="597">
        <f t="shared" si="5"/>
        <v>0</v>
      </c>
      <c r="O25" s="598"/>
      <c r="P25" s="90">
        <v>3</v>
      </c>
      <c r="Q25" s="71">
        <f>INDEX(Summary_Services!$B$6:$AF$105,$P25,26)</f>
        <v>0</v>
      </c>
      <c r="R25" s="71">
        <f>INDEX(Summary_Services!$B$6:$AF$105,$P25,27)</f>
        <v>0</v>
      </c>
      <c r="S25" s="71">
        <f>INDEX(Summary_Services!$B$6:$AF$105,$P25,28)</f>
        <v>0</v>
      </c>
      <c r="T25" s="71">
        <f>INDEX(Summary_Services!$B$6:$AF$105,$P25,29)</f>
        <v>0</v>
      </c>
      <c r="U25" s="71">
        <f>INDEX(Summary_Services!$B$6:$AF$105,$P25,30)</f>
        <v>0</v>
      </c>
      <c r="V25" s="71">
        <f>INDEX(Summary_Services!$B$6:$AF$105,$P25,31)</f>
        <v>0</v>
      </c>
      <c r="X25" s="90">
        <f t="shared" si="31"/>
        <v>0</v>
      </c>
      <c r="Y25" s="90">
        <f t="shared" si="31"/>
        <v>0</v>
      </c>
      <c r="Z25" s="90">
        <f t="shared" si="31"/>
        <v>0</v>
      </c>
      <c r="AA25" s="90">
        <f t="shared" si="31"/>
        <v>0</v>
      </c>
      <c r="AB25" s="90">
        <f t="shared" si="31"/>
        <v>0</v>
      </c>
      <c r="AC25" s="90">
        <f t="shared" si="31"/>
        <v>0</v>
      </c>
      <c r="AE25" s="71">
        <f t="shared" si="32"/>
        <v>0</v>
      </c>
      <c r="AF25" s="71">
        <f t="shared" si="32"/>
        <v>0</v>
      </c>
      <c r="AG25" s="71">
        <f t="shared" si="32"/>
        <v>0</v>
      </c>
      <c r="AH25" s="71">
        <f t="shared" si="32"/>
        <v>0</v>
      </c>
      <c r="AI25" s="71">
        <f t="shared" si="32"/>
        <v>0</v>
      </c>
      <c r="AJ25" s="71">
        <f t="shared" si="32"/>
        <v>0</v>
      </c>
    </row>
    <row r="26" spans="1:36">
      <c r="A26" s="90">
        <f>Treatment_Guidelines!B43</f>
        <v>0</v>
      </c>
      <c r="B26" s="597">
        <f>Treatment_Guidelines!D43</f>
        <v>0</v>
      </c>
      <c r="C26" s="597">
        <f t="shared" si="33"/>
        <v>0</v>
      </c>
      <c r="D26" s="597">
        <f t="shared" si="34"/>
        <v>0</v>
      </c>
      <c r="E26" s="597">
        <f t="shared" si="35"/>
        <v>0</v>
      </c>
      <c r="F26" s="597">
        <f t="shared" si="36"/>
        <v>0</v>
      </c>
      <c r="G26" s="597">
        <f t="shared" si="37"/>
        <v>0</v>
      </c>
      <c r="I26" s="597">
        <f>Treatment_Guidelines!E43</f>
        <v>0</v>
      </c>
      <c r="J26" s="597">
        <f t="shared" si="1"/>
        <v>0</v>
      </c>
      <c r="K26" s="597">
        <f t="shared" si="2"/>
        <v>0</v>
      </c>
      <c r="L26" s="597">
        <f t="shared" si="3"/>
        <v>0</v>
      </c>
      <c r="M26" s="597">
        <f t="shared" si="4"/>
        <v>0</v>
      </c>
      <c r="N26" s="597">
        <f t="shared" si="5"/>
        <v>0</v>
      </c>
      <c r="O26" s="598"/>
      <c r="P26" s="90">
        <v>3</v>
      </c>
      <c r="Q26" s="71">
        <f>INDEX(Summary_Services!$B$6:$AF$105,$P26,26)</f>
        <v>0</v>
      </c>
      <c r="R26" s="71">
        <f>INDEX(Summary_Services!$B$6:$AF$105,$P26,27)</f>
        <v>0</v>
      </c>
      <c r="S26" s="71">
        <f>INDEX(Summary_Services!$B$6:$AF$105,$P26,28)</f>
        <v>0</v>
      </c>
      <c r="T26" s="71">
        <f>INDEX(Summary_Services!$B$6:$AF$105,$P26,29)</f>
        <v>0</v>
      </c>
      <c r="U26" s="71">
        <f>INDEX(Summary_Services!$B$6:$AF$105,$P26,30)</f>
        <v>0</v>
      </c>
      <c r="V26" s="71">
        <f>INDEX(Summary_Services!$B$6:$AF$105,$P26,31)</f>
        <v>0</v>
      </c>
      <c r="X26" s="90">
        <f t="shared" si="31"/>
        <v>0</v>
      </c>
      <c r="Y26" s="90">
        <f t="shared" si="31"/>
        <v>0</v>
      </c>
      <c r="Z26" s="90">
        <f t="shared" si="31"/>
        <v>0</v>
      </c>
      <c r="AA26" s="90">
        <f t="shared" si="31"/>
        <v>0</v>
      </c>
      <c r="AB26" s="90">
        <f t="shared" si="31"/>
        <v>0</v>
      </c>
      <c r="AC26" s="90">
        <f t="shared" si="31"/>
        <v>0</v>
      </c>
      <c r="AE26" s="71">
        <f t="shared" si="32"/>
        <v>0</v>
      </c>
      <c r="AF26" s="71">
        <f t="shared" si="32"/>
        <v>0</v>
      </c>
      <c r="AG26" s="71">
        <f t="shared" si="32"/>
        <v>0</v>
      </c>
      <c r="AH26" s="71">
        <f t="shared" si="32"/>
        <v>0</v>
      </c>
      <c r="AI26" s="71">
        <f t="shared" si="32"/>
        <v>0</v>
      </c>
      <c r="AJ26" s="71">
        <f t="shared" si="32"/>
        <v>0</v>
      </c>
    </row>
    <row r="27" spans="1:36">
      <c r="A27" s="90">
        <f>Treatment_Guidelines!B44</f>
        <v>0</v>
      </c>
      <c r="B27" s="597">
        <f>Treatment_Guidelines!D44</f>
        <v>0</v>
      </c>
      <c r="C27" s="597">
        <f t="shared" si="33"/>
        <v>0</v>
      </c>
      <c r="D27" s="597">
        <f t="shared" si="34"/>
        <v>0</v>
      </c>
      <c r="E27" s="597">
        <f t="shared" si="35"/>
        <v>0</v>
      </c>
      <c r="F27" s="597">
        <f t="shared" si="36"/>
        <v>0</v>
      </c>
      <c r="G27" s="597">
        <f t="shared" si="37"/>
        <v>0</v>
      </c>
      <c r="I27" s="597">
        <f>Treatment_Guidelines!E44</f>
        <v>0</v>
      </c>
      <c r="J27" s="597">
        <f t="shared" si="1"/>
        <v>0</v>
      </c>
      <c r="K27" s="597">
        <f t="shared" si="2"/>
        <v>0</v>
      </c>
      <c r="L27" s="597">
        <f t="shared" si="3"/>
        <v>0</v>
      </c>
      <c r="M27" s="597">
        <f t="shared" si="4"/>
        <v>0</v>
      </c>
      <c r="N27" s="597">
        <f t="shared" si="5"/>
        <v>0</v>
      </c>
      <c r="O27" s="598"/>
      <c r="P27" s="90">
        <v>3</v>
      </c>
      <c r="Q27" s="71">
        <f>INDEX(Summary_Services!$B$6:$AF$105,$P27,26)</f>
        <v>0</v>
      </c>
      <c r="R27" s="71">
        <f>INDEX(Summary_Services!$B$6:$AF$105,$P27,27)</f>
        <v>0</v>
      </c>
      <c r="S27" s="71">
        <f>INDEX(Summary_Services!$B$6:$AF$105,$P27,28)</f>
        <v>0</v>
      </c>
      <c r="T27" s="71">
        <f>INDEX(Summary_Services!$B$6:$AF$105,$P27,29)</f>
        <v>0</v>
      </c>
      <c r="U27" s="71">
        <f>INDEX(Summary_Services!$B$6:$AF$105,$P27,30)</f>
        <v>0</v>
      </c>
      <c r="V27" s="71">
        <f>INDEX(Summary_Services!$B$6:$AF$105,$P27,31)</f>
        <v>0</v>
      </c>
      <c r="X27" s="90">
        <f t="shared" si="31"/>
        <v>0</v>
      </c>
      <c r="Y27" s="90">
        <f t="shared" si="31"/>
        <v>0</v>
      </c>
      <c r="Z27" s="90">
        <f t="shared" si="31"/>
        <v>0</v>
      </c>
      <c r="AA27" s="90">
        <f t="shared" si="31"/>
        <v>0</v>
      </c>
      <c r="AB27" s="90">
        <f t="shared" si="31"/>
        <v>0</v>
      </c>
      <c r="AC27" s="90">
        <f t="shared" si="31"/>
        <v>0</v>
      </c>
      <c r="AE27" s="71">
        <f t="shared" si="32"/>
        <v>0</v>
      </c>
      <c r="AF27" s="71">
        <f t="shared" si="32"/>
        <v>0</v>
      </c>
      <c r="AG27" s="71">
        <f t="shared" si="32"/>
        <v>0</v>
      </c>
      <c r="AH27" s="71">
        <f t="shared" si="32"/>
        <v>0</v>
      </c>
      <c r="AI27" s="71">
        <f t="shared" si="32"/>
        <v>0</v>
      </c>
      <c r="AJ27" s="71">
        <f t="shared" si="32"/>
        <v>0</v>
      </c>
    </row>
    <row r="28" spans="1:36">
      <c r="A28" s="90">
        <f>Treatment_Guidelines!B45</f>
        <v>0</v>
      </c>
      <c r="B28" s="597">
        <f>Treatment_Guidelines!D45</f>
        <v>0</v>
      </c>
      <c r="C28" s="597">
        <f t="shared" si="33"/>
        <v>0</v>
      </c>
      <c r="D28" s="597">
        <f t="shared" si="34"/>
        <v>0</v>
      </c>
      <c r="E28" s="597">
        <f t="shared" si="35"/>
        <v>0</v>
      </c>
      <c r="F28" s="597">
        <f t="shared" si="36"/>
        <v>0</v>
      </c>
      <c r="G28" s="597">
        <f t="shared" si="37"/>
        <v>0</v>
      </c>
      <c r="I28" s="597">
        <f>Treatment_Guidelines!E45</f>
        <v>0</v>
      </c>
      <c r="J28" s="597">
        <f t="shared" si="1"/>
        <v>0</v>
      </c>
      <c r="K28" s="597">
        <f t="shared" si="2"/>
        <v>0</v>
      </c>
      <c r="L28" s="597">
        <f t="shared" si="3"/>
        <v>0</v>
      </c>
      <c r="M28" s="597">
        <f t="shared" si="4"/>
        <v>0</v>
      </c>
      <c r="N28" s="597">
        <f t="shared" si="5"/>
        <v>0</v>
      </c>
      <c r="O28" s="598"/>
      <c r="P28" s="90">
        <v>3</v>
      </c>
      <c r="Q28" s="71">
        <f>INDEX(Summary_Services!$B$6:$AF$105,$P28,26)</f>
        <v>0</v>
      </c>
      <c r="R28" s="71">
        <f>INDEX(Summary_Services!$B$6:$AF$105,$P28,27)</f>
        <v>0</v>
      </c>
      <c r="S28" s="71">
        <f>INDEX(Summary_Services!$B$6:$AF$105,$P28,28)</f>
        <v>0</v>
      </c>
      <c r="T28" s="71">
        <f>INDEX(Summary_Services!$B$6:$AF$105,$P28,29)</f>
        <v>0</v>
      </c>
      <c r="U28" s="71">
        <f>INDEX(Summary_Services!$B$6:$AF$105,$P28,30)</f>
        <v>0</v>
      </c>
      <c r="V28" s="71">
        <f>INDEX(Summary_Services!$B$6:$AF$105,$P28,31)</f>
        <v>0</v>
      </c>
      <c r="X28" s="90">
        <f t="shared" si="31"/>
        <v>0</v>
      </c>
      <c r="Y28" s="90">
        <f t="shared" si="31"/>
        <v>0</v>
      </c>
      <c r="Z28" s="90">
        <f t="shared" si="31"/>
        <v>0</v>
      </c>
      <c r="AA28" s="90">
        <f t="shared" si="31"/>
        <v>0</v>
      </c>
      <c r="AB28" s="90">
        <f t="shared" si="31"/>
        <v>0</v>
      </c>
      <c r="AC28" s="90">
        <f t="shared" si="31"/>
        <v>0</v>
      </c>
      <c r="AE28" s="71">
        <f t="shared" si="32"/>
        <v>0</v>
      </c>
      <c r="AF28" s="71">
        <f t="shared" si="32"/>
        <v>0</v>
      </c>
      <c r="AG28" s="71">
        <f t="shared" si="32"/>
        <v>0</v>
      </c>
      <c r="AH28" s="71">
        <f t="shared" si="32"/>
        <v>0</v>
      </c>
      <c r="AI28" s="71">
        <f t="shared" si="32"/>
        <v>0</v>
      </c>
      <c r="AJ28" s="71">
        <f t="shared" si="32"/>
        <v>0</v>
      </c>
    </row>
    <row r="29" spans="1:36" s="599" customFormat="1">
      <c r="A29" s="90">
        <f>Treatment_Guidelines!B46</f>
        <v>0</v>
      </c>
      <c r="B29" s="597">
        <f>Treatment_Guidelines!D46</f>
        <v>0</v>
      </c>
      <c r="C29" s="597">
        <f t="shared" si="33"/>
        <v>0</v>
      </c>
      <c r="D29" s="597">
        <f t="shared" si="34"/>
        <v>0</v>
      </c>
      <c r="E29" s="597">
        <f t="shared" si="35"/>
        <v>0</v>
      </c>
      <c r="F29" s="597">
        <f t="shared" si="36"/>
        <v>0</v>
      </c>
      <c r="G29" s="597">
        <f t="shared" si="37"/>
        <v>0</v>
      </c>
      <c r="I29" s="597">
        <f>Treatment_Guidelines!E46</f>
        <v>0</v>
      </c>
      <c r="J29" s="600">
        <f t="shared" si="1"/>
        <v>0</v>
      </c>
      <c r="K29" s="600">
        <f t="shared" si="2"/>
        <v>0</v>
      </c>
      <c r="L29" s="600">
        <f t="shared" si="3"/>
        <v>0</v>
      </c>
      <c r="M29" s="600">
        <f t="shared" si="4"/>
        <v>0</v>
      </c>
      <c r="N29" s="600">
        <f t="shared" si="5"/>
        <v>0</v>
      </c>
      <c r="O29" s="601"/>
      <c r="P29" s="599">
        <v>3</v>
      </c>
      <c r="Q29" s="71">
        <f>INDEX(Summary_Services!$B$6:$AF$105,$P29,26)</f>
        <v>0</v>
      </c>
      <c r="R29" s="71">
        <f>INDEX(Summary_Services!$B$6:$AF$105,$P29,27)</f>
        <v>0</v>
      </c>
      <c r="S29" s="71">
        <f>INDEX(Summary_Services!$B$6:$AF$105,$P29,28)</f>
        <v>0</v>
      </c>
      <c r="T29" s="71">
        <f>INDEX(Summary_Services!$B$6:$AF$105,$P29,29)</f>
        <v>0</v>
      </c>
      <c r="U29" s="71">
        <f>INDEX(Summary_Services!$B$6:$AF$105,$P29,30)</f>
        <v>0</v>
      </c>
      <c r="V29" s="71">
        <f>INDEX(Summary_Services!$B$6:$AF$105,$P29,31)</f>
        <v>0</v>
      </c>
      <c r="X29" s="599">
        <f t="shared" si="31"/>
        <v>0</v>
      </c>
      <c r="Y29" s="599">
        <f t="shared" si="31"/>
        <v>0</v>
      </c>
      <c r="Z29" s="599">
        <f t="shared" si="31"/>
        <v>0</v>
      </c>
      <c r="AA29" s="599">
        <f t="shared" si="31"/>
        <v>0</v>
      </c>
      <c r="AB29" s="599">
        <f t="shared" si="31"/>
        <v>0</v>
      </c>
      <c r="AC29" s="599">
        <f t="shared" si="31"/>
        <v>0</v>
      </c>
      <c r="AE29" s="602">
        <f t="shared" si="32"/>
        <v>0</v>
      </c>
      <c r="AF29" s="602">
        <f t="shared" si="32"/>
        <v>0</v>
      </c>
      <c r="AG29" s="602">
        <f t="shared" si="32"/>
        <v>0</v>
      </c>
      <c r="AH29" s="602">
        <f t="shared" si="32"/>
        <v>0</v>
      </c>
      <c r="AI29" s="602">
        <f t="shared" si="32"/>
        <v>0</v>
      </c>
      <c r="AJ29" s="602">
        <f t="shared" si="32"/>
        <v>0</v>
      </c>
    </row>
    <row r="30" spans="1:36" s="605" customFormat="1">
      <c r="A30" s="605">
        <f>Treatment_Guidelines!B54</f>
        <v>0</v>
      </c>
      <c r="B30" s="604">
        <f>Treatment_Guidelines!D54</f>
        <v>0</v>
      </c>
      <c r="C30" s="604">
        <f t="shared" si="30"/>
        <v>0</v>
      </c>
      <c r="D30" s="604">
        <f t="shared" si="30"/>
        <v>0</v>
      </c>
      <c r="E30" s="604">
        <f t="shared" si="30"/>
        <v>0</v>
      </c>
      <c r="F30" s="604">
        <f t="shared" si="30"/>
        <v>0</v>
      </c>
      <c r="G30" s="604">
        <f t="shared" si="30"/>
        <v>0</v>
      </c>
      <c r="I30" s="604">
        <f>Treatment_Guidelines!E54</f>
        <v>0</v>
      </c>
      <c r="J30" s="604">
        <f t="shared" si="1"/>
        <v>0</v>
      </c>
      <c r="K30" s="604">
        <f t="shared" si="2"/>
        <v>0</v>
      </c>
      <c r="L30" s="604">
        <f t="shared" si="3"/>
        <v>0</v>
      </c>
      <c r="M30" s="604">
        <f t="shared" si="4"/>
        <v>0</v>
      </c>
      <c r="N30" s="604">
        <f t="shared" si="5"/>
        <v>0</v>
      </c>
      <c r="O30" s="606"/>
      <c r="P30" s="605">
        <v>4</v>
      </c>
      <c r="Q30" s="607">
        <f>INDEX(Summary_Services!$B$6:$AF$105,$P30,26)</f>
        <v>0</v>
      </c>
      <c r="R30" s="607">
        <f>INDEX(Summary_Services!$B$6:$AF$105,$P30,27)</f>
        <v>0</v>
      </c>
      <c r="S30" s="607">
        <f>INDEX(Summary_Services!$B$6:$AF$105,$P30,28)</f>
        <v>0</v>
      </c>
      <c r="T30" s="607">
        <f>INDEX(Summary_Services!$B$6:$AF$105,$P30,29)</f>
        <v>0</v>
      </c>
      <c r="U30" s="607">
        <f>INDEX(Summary_Services!$B$6:$AF$105,$P30,30)</f>
        <v>0</v>
      </c>
      <c r="V30" s="607">
        <f>INDEX(Summary_Services!$B$6:$AF$105,$P30,31)</f>
        <v>0</v>
      </c>
      <c r="X30" s="605">
        <f t="shared" si="31"/>
        <v>0</v>
      </c>
      <c r="Y30" s="605">
        <f t="shared" si="31"/>
        <v>0</v>
      </c>
      <c r="Z30" s="605">
        <f t="shared" si="31"/>
        <v>0</v>
      </c>
      <c r="AA30" s="605">
        <f t="shared" si="31"/>
        <v>0</v>
      </c>
      <c r="AB30" s="605">
        <f t="shared" si="31"/>
        <v>0</v>
      </c>
      <c r="AC30" s="605">
        <f t="shared" si="31"/>
        <v>0</v>
      </c>
      <c r="AE30" s="607">
        <f t="shared" si="32"/>
        <v>0</v>
      </c>
      <c r="AF30" s="607">
        <f t="shared" si="32"/>
        <v>0</v>
      </c>
      <c r="AG30" s="607">
        <f t="shared" si="32"/>
        <v>0</v>
      </c>
      <c r="AH30" s="607">
        <f t="shared" si="32"/>
        <v>0</v>
      </c>
      <c r="AI30" s="607">
        <f t="shared" si="32"/>
        <v>0</v>
      </c>
      <c r="AJ30" s="607">
        <f t="shared" si="32"/>
        <v>0</v>
      </c>
    </row>
    <row r="31" spans="1:36">
      <c r="A31" s="90">
        <f>Treatment_Guidelines!B55</f>
        <v>0</v>
      </c>
      <c r="B31" s="597">
        <f>Treatment_Guidelines!D55</f>
        <v>0</v>
      </c>
      <c r="C31" s="597">
        <f t="shared" si="30"/>
        <v>0</v>
      </c>
      <c r="D31" s="597">
        <f t="shared" si="30"/>
        <v>0</v>
      </c>
      <c r="E31" s="597">
        <f t="shared" si="30"/>
        <v>0</v>
      </c>
      <c r="F31" s="597">
        <f t="shared" si="30"/>
        <v>0</v>
      </c>
      <c r="G31" s="597">
        <f t="shared" si="30"/>
        <v>0</v>
      </c>
      <c r="I31" s="597">
        <f>Treatment_Guidelines!E55</f>
        <v>0</v>
      </c>
      <c r="J31" s="597">
        <f t="shared" si="1"/>
        <v>0</v>
      </c>
      <c r="K31" s="597">
        <f t="shared" si="2"/>
        <v>0</v>
      </c>
      <c r="L31" s="597">
        <f t="shared" si="3"/>
        <v>0</v>
      </c>
      <c r="M31" s="597">
        <f t="shared" si="4"/>
        <v>0</v>
      </c>
      <c r="N31" s="597">
        <f t="shared" si="5"/>
        <v>0</v>
      </c>
      <c r="O31" s="598"/>
      <c r="P31" s="90">
        <v>4</v>
      </c>
      <c r="Q31" s="71">
        <f>INDEX(Summary_Services!$B$6:$AF$105,$P31,26)</f>
        <v>0</v>
      </c>
      <c r="R31" s="71">
        <f>INDEX(Summary_Services!$B$6:$AF$105,$P31,27)</f>
        <v>0</v>
      </c>
      <c r="S31" s="71">
        <f>INDEX(Summary_Services!$B$6:$AF$105,$P31,28)</f>
        <v>0</v>
      </c>
      <c r="T31" s="71">
        <f>INDEX(Summary_Services!$B$6:$AF$105,$P31,29)</f>
        <v>0</v>
      </c>
      <c r="U31" s="71">
        <f>INDEX(Summary_Services!$B$6:$AF$105,$P31,30)</f>
        <v>0</v>
      </c>
      <c r="V31" s="71">
        <f>INDEX(Summary_Services!$B$6:$AF$105,$P31,31)</f>
        <v>0</v>
      </c>
      <c r="X31" s="90">
        <f t="shared" si="31"/>
        <v>0</v>
      </c>
      <c r="Y31" s="90">
        <f t="shared" si="31"/>
        <v>0</v>
      </c>
      <c r="Z31" s="90">
        <f t="shared" si="31"/>
        <v>0</v>
      </c>
      <c r="AA31" s="90">
        <f t="shared" si="31"/>
        <v>0</v>
      </c>
      <c r="AB31" s="90">
        <f t="shared" si="31"/>
        <v>0</v>
      </c>
      <c r="AC31" s="90">
        <f t="shared" si="31"/>
        <v>0</v>
      </c>
      <c r="AE31" s="71">
        <f t="shared" si="32"/>
        <v>0</v>
      </c>
      <c r="AF31" s="71">
        <f t="shared" si="32"/>
        <v>0</v>
      </c>
      <c r="AG31" s="71">
        <f t="shared" si="32"/>
        <v>0</v>
      </c>
      <c r="AH31" s="71">
        <f t="shared" si="32"/>
        <v>0</v>
      </c>
      <c r="AI31" s="71">
        <f t="shared" si="32"/>
        <v>0</v>
      </c>
      <c r="AJ31" s="71">
        <f t="shared" si="32"/>
        <v>0</v>
      </c>
    </row>
    <row r="32" spans="1:36">
      <c r="A32" s="90">
        <f>Treatment_Guidelines!B56</f>
        <v>0</v>
      </c>
      <c r="B32" s="597">
        <f>Treatment_Guidelines!D56</f>
        <v>0</v>
      </c>
      <c r="C32" s="597">
        <f t="shared" ref="C32:C37" si="38">B32</f>
        <v>0</v>
      </c>
      <c r="D32" s="597">
        <f t="shared" ref="D32:D37" si="39">C32</f>
        <v>0</v>
      </c>
      <c r="E32" s="597">
        <f t="shared" ref="E32:E37" si="40">D32</f>
        <v>0</v>
      </c>
      <c r="F32" s="597">
        <f t="shared" ref="F32:F37" si="41">E32</f>
        <v>0</v>
      </c>
      <c r="G32" s="597">
        <f t="shared" ref="G32:G37" si="42">F32</f>
        <v>0</v>
      </c>
      <c r="I32" s="597">
        <f>Treatment_Guidelines!E56</f>
        <v>0</v>
      </c>
      <c r="J32" s="597">
        <f t="shared" si="1"/>
        <v>0</v>
      </c>
      <c r="K32" s="597">
        <f t="shared" si="2"/>
        <v>0</v>
      </c>
      <c r="L32" s="597">
        <f t="shared" si="3"/>
        <v>0</v>
      </c>
      <c r="M32" s="597">
        <f t="shared" si="4"/>
        <v>0</v>
      </c>
      <c r="N32" s="597">
        <f t="shared" si="5"/>
        <v>0</v>
      </c>
      <c r="O32" s="598"/>
      <c r="P32" s="90">
        <v>4</v>
      </c>
      <c r="Q32" s="71">
        <f>INDEX(Summary_Services!$B$6:$AF$105,$P32,26)</f>
        <v>0</v>
      </c>
      <c r="R32" s="71">
        <f>INDEX(Summary_Services!$B$6:$AF$105,$P32,27)</f>
        <v>0</v>
      </c>
      <c r="S32" s="71">
        <f>INDEX(Summary_Services!$B$6:$AF$105,$P32,28)</f>
        <v>0</v>
      </c>
      <c r="T32" s="71">
        <f>INDEX(Summary_Services!$B$6:$AF$105,$P32,29)</f>
        <v>0</v>
      </c>
      <c r="U32" s="71">
        <f>INDEX(Summary_Services!$B$6:$AF$105,$P32,30)</f>
        <v>0</v>
      </c>
      <c r="V32" s="71">
        <f>INDEX(Summary_Services!$B$6:$AF$105,$P32,31)</f>
        <v>0</v>
      </c>
      <c r="X32" s="90">
        <f t="shared" si="31"/>
        <v>0</v>
      </c>
      <c r="Y32" s="90">
        <f t="shared" si="31"/>
        <v>0</v>
      </c>
      <c r="Z32" s="90">
        <f t="shared" si="31"/>
        <v>0</v>
      </c>
      <c r="AA32" s="90">
        <f t="shared" si="31"/>
        <v>0</v>
      </c>
      <c r="AB32" s="90">
        <f t="shared" si="31"/>
        <v>0</v>
      </c>
      <c r="AC32" s="90">
        <f t="shared" si="31"/>
        <v>0</v>
      </c>
      <c r="AE32" s="71">
        <f t="shared" si="32"/>
        <v>0</v>
      </c>
      <c r="AF32" s="71">
        <f t="shared" si="32"/>
        <v>0</v>
      </c>
      <c r="AG32" s="71">
        <f t="shared" si="32"/>
        <v>0</v>
      </c>
      <c r="AH32" s="71">
        <f t="shared" si="32"/>
        <v>0</v>
      </c>
      <c r="AI32" s="71">
        <f t="shared" si="32"/>
        <v>0</v>
      </c>
      <c r="AJ32" s="71">
        <f t="shared" si="32"/>
        <v>0</v>
      </c>
    </row>
    <row r="33" spans="1:36">
      <c r="A33" s="90">
        <f>Treatment_Guidelines!B57</f>
        <v>0</v>
      </c>
      <c r="B33" s="597">
        <f>Treatment_Guidelines!D57</f>
        <v>0</v>
      </c>
      <c r="C33" s="597">
        <f t="shared" si="38"/>
        <v>0</v>
      </c>
      <c r="D33" s="597">
        <f t="shared" si="39"/>
        <v>0</v>
      </c>
      <c r="E33" s="597">
        <f t="shared" si="40"/>
        <v>0</v>
      </c>
      <c r="F33" s="597">
        <f t="shared" si="41"/>
        <v>0</v>
      </c>
      <c r="G33" s="597">
        <f t="shared" si="42"/>
        <v>0</v>
      </c>
      <c r="I33" s="597">
        <f>Treatment_Guidelines!E57</f>
        <v>0</v>
      </c>
      <c r="J33" s="597">
        <f t="shared" si="1"/>
        <v>0</v>
      </c>
      <c r="K33" s="597">
        <f t="shared" si="2"/>
        <v>0</v>
      </c>
      <c r="L33" s="597">
        <f t="shared" si="3"/>
        <v>0</v>
      </c>
      <c r="M33" s="597">
        <f t="shared" si="4"/>
        <v>0</v>
      </c>
      <c r="N33" s="597">
        <f t="shared" si="5"/>
        <v>0</v>
      </c>
      <c r="O33" s="598"/>
      <c r="P33" s="90">
        <v>4</v>
      </c>
      <c r="Q33" s="71">
        <f>INDEX(Summary_Services!$B$6:$AF$105,$P33,26)</f>
        <v>0</v>
      </c>
      <c r="R33" s="71">
        <f>INDEX(Summary_Services!$B$6:$AF$105,$P33,27)</f>
        <v>0</v>
      </c>
      <c r="S33" s="71">
        <f>INDEX(Summary_Services!$B$6:$AF$105,$P33,28)</f>
        <v>0</v>
      </c>
      <c r="T33" s="71">
        <f>INDEX(Summary_Services!$B$6:$AF$105,$P33,29)</f>
        <v>0</v>
      </c>
      <c r="U33" s="71">
        <f>INDEX(Summary_Services!$B$6:$AF$105,$P33,30)</f>
        <v>0</v>
      </c>
      <c r="V33" s="71">
        <f>INDEX(Summary_Services!$B$6:$AF$105,$P33,31)</f>
        <v>0</v>
      </c>
      <c r="X33" s="90">
        <f t="shared" si="31"/>
        <v>0</v>
      </c>
      <c r="Y33" s="90">
        <f t="shared" si="31"/>
        <v>0</v>
      </c>
      <c r="Z33" s="90">
        <f t="shared" si="31"/>
        <v>0</v>
      </c>
      <c r="AA33" s="90">
        <f t="shared" si="31"/>
        <v>0</v>
      </c>
      <c r="AB33" s="90">
        <f t="shared" si="31"/>
        <v>0</v>
      </c>
      <c r="AC33" s="90">
        <f t="shared" si="31"/>
        <v>0</v>
      </c>
      <c r="AE33" s="71">
        <f t="shared" si="32"/>
        <v>0</v>
      </c>
      <c r="AF33" s="71">
        <f t="shared" si="32"/>
        <v>0</v>
      </c>
      <c r="AG33" s="71">
        <f t="shared" si="32"/>
        <v>0</v>
      </c>
      <c r="AH33" s="71">
        <f t="shared" si="32"/>
        <v>0</v>
      </c>
      <c r="AI33" s="71">
        <f t="shared" si="32"/>
        <v>0</v>
      </c>
      <c r="AJ33" s="71">
        <f t="shared" si="32"/>
        <v>0</v>
      </c>
    </row>
    <row r="34" spans="1:36">
      <c r="A34" s="90">
        <f>Treatment_Guidelines!B58</f>
        <v>0</v>
      </c>
      <c r="B34" s="597">
        <f>Treatment_Guidelines!D58</f>
        <v>0</v>
      </c>
      <c r="C34" s="597">
        <f t="shared" si="38"/>
        <v>0</v>
      </c>
      <c r="D34" s="597">
        <f t="shared" si="39"/>
        <v>0</v>
      </c>
      <c r="E34" s="597">
        <f t="shared" si="40"/>
        <v>0</v>
      </c>
      <c r="F34" s="597">
        <f t="shared" si="41"/>
        <v>0</v>
      </c>
      <c r="G34" s="597">
        <f t="shared" si="42"/>
        <v>0</v>
      </c>
      <c r="I34" s="597">
        <f>Treatment_Guidelines!E58</f>
        <v>0</v>
      </c>
      <c r="J34" s="597">
        <f t="shared" si="1"/>
        <v>0</v>
      </c>
      <c r="K34" s="597">
        <f t="shared" si="2"/>
        <v>0</v>
      </c>
      <c r="L34" s="597">
        <f t="shared" si="3"/>
        <v>0</v>
      </c>
      <c r="M34" s="597">
        <f t="shared" si="4"/>
        <v>0</v>
      </c>
      <c r="N34" s="597">
        <f t="shared" si="5"/>
        <v>0</v>
      </c>
      <c r="O34" s="598"/>
      <c r="P34" s="90">
        <v>4</v>
      </c>
      <c r="Q34" s="71">
        <f>INDEX(Summary_Services!$B$6:$AF$105,$P34,26)</f>
        <v>0</v>
      </c>
      <c r="R34" s="71">
        <f>INDEX(Summary_Services!$B$6:$AF$105,$P34,27)</f>
        <v>0</v>
      </c>
      <c r="S34" s="71">
        <f>INDEX(Summary_Services!$B$6:$AF$105,$P34,28)</f>
        <v>0</v>
      </c>
      <c r="T34" s="71">
        <f>INDEX(Summary_Services!$B$6:$AF$105,$P34,29)</f>
        <v>0</v>
      </c>
      <c r="U34" s="71">
        <f>INDEX(Summary_Services!$B$6:$AF$105,$P34,30)</f>
        <v>0</v>
      </c>
      <c r="V34" s="71">
        <f>INDEX(Summary_Services!$B$6:$AF$105,$P34,31)</f>
        <v>0</v>
      </c>
      <c r="X34" s="90">
        <f t="shared" si="31"/>
        <v>0</v>
      </c>
      <c r="Y34" s="90">
        <f t="shared" si="31"/>
        <v>0</v>
      </c>
      <c r="Z34" s="90">
        <f t="shared" si="31"/>
        <v>0</v>
      </c>
      <c r="AA34" s="90">
        <f t="shared" si="31"/>
        <v>0</v>
      </c>
      <c r="AB34" s="90">
        <f t="shared" si="31"/>
        <v>0</v>
      </c>
      <c r="AC34" s="90">
        <f t="shared" si="31"/>
        <v>0</v>
      </c>
      <c r="AE34" s="71">
        <f t="shared" si="32"/>
        <v>0</v>
      </c>
      <c r="AF34" s="71">
        <f t="shared" si="32"/>
        <v>0</v>
      </c>
      <c r="AG34" s="71">
        <f t="shared" si="32"/>
        <v>0</v>
      </c>
      <c r="AH34" s="71">
        <f t="shared" si="32"/>
        <v>0</v>
      </c>
      <c r="AI34" s="71">
        <f t="shared" si="32"/>
        <v>0</v>
      </c>
      <c r="AJ34" s="71">
        <f t="shared" si="32"/>
        <v>0</v>
      </c>
    </row>
    <row r="35" spans="1:36">
      <c r="A35" s="90">
        <f>Treatment_Guidelines!B59</f>
        <v>0</v>
      </c>
      <c r="B35" s="597">
        <f>Treatment_Guidelines!D59</f>
        <v>0</v>
      </c>
      <c r="C35" s="597">
        <f t="shared" si="38"/>
        <v>0</v>
      </c>
      <c r="D35" s="597">
        <f t="shared" si="39"/>
        <v>0</v>
      </c>
      <c r="E35" s="597">
        <f t="shared" si="40"/>
        <v>0</v>
      </c>
      <c r="F35" s="597">
        <f t="shared" si="41"/>
        <v>0</v>
      </c>
      <c r="G35" s="597">
        <f t="shared" si="42"/>
        <v>0</v>
      </c>
      <c r="I35" s="597">
        <f>Treatment_Guidelines!E59</f>
        <v>0</v>
      </c>
      <c r="J35" s="597">
        <f t="shared" si="1"/>
        <v>0</v>
      </c>
      <c r="K35" s="597">
        <f t="shared" si="2"/>
        <v>0</v>
      </c>
      <c r="L35" s="597">
        <f t="shared" si="3"/>
        <v>0</v>
      </c>
      <c r="M35" s="597">
        <f t="shared" si="4"/>
        <v>0</v>
      </c>
      <c r="N35" s="597">
        <f t="shared" si="5"/>
        <v>0</v>
      </c>
      <c r="O35" s="598"/>
      <c r="P35" s="90">
        <v>4</v>
      </c>
      <c r="Q35" s="71">
        <f>INDEX(Summary_Services!$B$6:$AF$105,$P35,26)</f>
        <v>0</v>
      </c>
      <c r="R35" s="71">
        <f>INDEX(Summary_Services!$B$6:$AF$105,$P35,27)</f>
        <v>0</v>
      </c>
      <c r="S35" s="71">
        <f>INDEX(Summary_Services!$B$6:$AF$105,$P35,28)</f>
        <v>0</v>
      </c>
      <c r="T35" s="71">
        <f>INDEX(Summary_Services!$B$6:$AF$105,$P35,29)</f>
        <v>0</v>
      </c>
      <c r="U35" s="71">
        <f>INDEX(Summary_Services!$B$6:$AF$105,$P35,30)</f>
        <v>0</v>
      </c>
      <c r="V35" s="71">
        <f>INDEX(Summary_Services!$B$6:$AF$105,$P35,31)</f>
        <v>0</v>
      </c>
      <c r="X35" s="90">
        <f t="shared" si="31"/>
        <v>0</v>
      </c>
      <c r="Y35" s="90">
        <f t="shared" si="31"/>
        <v>0</v>
      </c>
      <c r="Z35" s="90">
        <f t="shared" si="31"/>
        <v>0</v>
      </c>
      <c r="AA35" s="90">
        <f t="shared" si="31"/>
        <v>0</v>
      </c>
      <c r="AB35" s="90">
        <f t="shared" si="31"/>
        <v>0</v>
      </c>
      <c r="AC35" s="90">
        <f t="shared" si="31"/>
        <v>0</v>
      </c>
      <c r="AE35" s="71">
        <f t="shared" si="32"/>
        <v>0</v>
      </c>
      <c r="AF35" s="71">
        <f t="shared" si="32"/>
        <v>0</v>
      </c>
      <c r="AG35" s="71">
        <f t="shared" si="32"/>
        <v>0</v>
      </c>
      <c r="AH35" s="71">
        <f t="shared" si="32"/>
        <v>0</v>
      </c>
      <c r="AI35" s="71">
        <f t="shared" si="32"/>
        <v>0</v>
      </c>
      <c r="AJ35" s="71">
        <f t="shared" si="32"/>
        <v>0</v>
      </c>
    </row>
    <row r="36" spans="1:36">
      <c r="A36" s="90">
        <f>Treatment_Guidelines!B60</f>
        <v>0</v>
      </c>
      <c r="B36" s="597">
        <f>Treatment_Guidelines!D60</f>
        <v>0</v>
      </c>
      <c r="C36" s="597">
        <f t="shared" si="38"/>
        <v>0</v>
      </c>
      <c r="D36" s="597">
        <f t="shared" si="39"/>
        <v>0</v>
      </c>
      <c r="E36" s="597">
        <f t="shared" si="40"/>
        <v>0</v>
      </c>
      <c r="F36" s="597">
        <f t="shared" si="41"/>
        <v>0</v>
      </c>
      <c r="G36" s="597">
        <f t="shared" si="42"/>
        <v>0</v>
      </c>
      <c r="I36" s="597">
        <f>Treatment_Guidelines!E60</f>
        <v>0</v>
      </c>
      <c r="J36" s="597">
        <f t="shared" si="1"/>
        <v>0</v>
      </c>
      <c r="K36" s="597">
        <f t="shared" si="2"/>
        <v>0</v>
      </c>
      <c r="L36" s="597">
        <f t="shared" si="3"/>
        <v>0</v>
      </c>
      <c r="M36" s="597">
        <f t="shared" si="4"/>
        <v>0</v>
      </c>
      <c r="N36" s="597">
        <f t="shared" si="5"/>
        <v>0</v>
      </c>
      <c r="O36" s="598"/>
      <c r="P36" s="90">
        <v>4</v>
      </c>
      <c r="Q36" s="71">
        <f>INDEX(Summary_Services!$B$6:$AF$105,$P36,26)</f>
        <v>0</v>
      </c>
      <c r="R36" s="71">
        <f>INDEX(Summary_Services!$B$6:$AF$105,$P36,27)</f>
        <v>0</v>
      </c>
      <c r="S36" s="71">
        <f>INDEX(Summary_Services!$B$6:$AF$105,$P36,28)</f>
        <v>0</v>
      </c>
      <c r="T36" s="71">
        <f>INDEX(Summary_Services!$B$6:$AF$105,$P36,29)</f>
        <v>0</v>
      </c>
      <c r="U36" s="71">
        <f>INDEX(Summary_Services!$B$6:$AF$105,$P36,30)</f>
        <v>0</v>
      </c>
      <c r="V36" s="71">
        <f>INDEX(Summary_Services!$B$6:$AF$105,$P36,31)</f>
        <v>0</v>
      </c>
      <c r="X36" s="90">
        <f t="shared" si="31"/>
        <v>0</v>
      </c>
      <c r="Y36" s="90">
        <f t="shared" si="31"/>
        <v>0</v>
      </c>
      <c r="Z36" s="90">
        <f t="shared" si="31"/>
        <v>0</v>
      </c>
      <c r="AA36" s="90">
        <f t="shared" si="31"/>
        <v>0</v>
      </c>
      <c r="AB36" s="90">
        <f t="shared" si="31"/>
        <v>0</v>
      </c>
      <c r="AC36" s="90">
        <f t="shared" si="31"/>
        <v>0</v>
      </c>
      <c r="AE36" s="71">
        <f t="shared" si="32"/>
        <v>0</v>
      </c>
      <c r="AF36" s="71">
        <f t="shared" si="32"/>
        <v>0</v>
      </c>
      <c r="AG36" s="71">
        <f t="shared" si="32"/>
        <v>0</v>
      </c>
      <c r="AH36" s="71">
        <f t="shared" si="32"/>
        <v>0</v>
      </c>
      <c r="AI36" s="71">
        <f t="shared" si="32"/>
        <v>0</v>
      </c>
      <c r="AJ36" s="71">
        <f t="shared" si="32"/>
        <v>0</v>
      </c>
    </row>
    <row r="37" spans="1:36" s="599" customFormat="1">
      <c r="A37" s="90">
        <f>Treatment_Guidelines!B61</f>
        <v>0</v>
      </c>
      <c r="B37" s="597">
        <f>Treatment_Guidelines!D61</f>
        <v>0</v>
      </c>
      <c r="C37" s="597">
        <f t="shared" si="38"/>
        <v>0</v>
      </c>
      <c r="D37" s="597">
        <f t="shared" si="39"/>
        <v>0</v>
      </c>
      <c r="E37" s="597">
        <f t="shared" si="40"/>
        <v>0</v>
      </c>
      <c r="F37" s="597">
        <f t="shared" si="41"/>
        <v>0</v>
      </c>
      <c r="G37" s="597">
        <f t="shared" si="42"/>
        <v>0</v>
      </c>
      <c r="I37" s="597">
        <f>Treatment_Guidelines!E61</f>
        <v>0</v>
      </c>
      <c r="J37" s="600">
        <f t="shared" si="1"/>
        <v>0</v>
      </c>
      <c r="K37" s="600">
        <f t="shared" si="2"/>
        <v>0</v>
      </c>
      <c r="L37" s="600">
        <f t="shared" si="3"/>
        <v>0</v>
      </c>
      <c r="M37" s="600">
        <f t="shared" si="4"/>
        <v>0</v>
      </c>
      <c r="N37" s="600">
        <f t="shared" si="5"/>
        <v>0</v>
      </c>
      <c r="O37" s="601"/>
      <c r="P37" s="599">
        <v>4</v>
      </c>
      <c r="Q37" s="71">
        <f>INDEX(Summary_Services!$B$6:$AF$105,$P37,26)</f>
        <v>0</v>
      </c>
      <c r="R37" s="71">
        <f>INDEX(Summary_Services!$B$6:$AF$105,$P37,27)</f>
        <v>0</v>
      </c>
      <c r="S37" s="71">
        <f>INDEX(Summary_Services!$B$6:$AF$105,$P37,28)</f>
        <v>0</v>
      </c>
      <c r="T37" s="71">
        <f>INDEX(Summary_Services!$B$6:$AF$105,$P37,29)</f>
        <v>0</v>
      </c>
      <c r="U37" s="71">
        <f>INDEX(Summary_Services!$B$6:$AF$105,$P37,30)</f>
        <v>0</v>
      </c>
      <c r="V37" s="71">
        <f>INDEX(Summary_Services!$B$6:$AF$105,$P37,31)</f>
        <v>0</v>
      </c>
      <c r="X37" s="599">
        <f t="shared" si="31"/>
        <v>0</v>
      </c>
      <c r="Y37" s="599">
        <f t="shared" si="31"/>
        <v>0</v>
      </c>
      <c r="Z37" s="599">
        <f t="shared" si="31"/>
        <v>0</v>
      </c>
      <c r="AA37" s="599">
        <f t="shared" si="31"/>
        <v>0</v>
      </c>
      <c r="AB37" s="599">
        <f t="shared" si="31"/>
        <v>0</v>
      </c>
      <c r="AC37" s="599">
        <f t="shared" si="31"/>
        <v>0</v>
      </c>
      <c r="AE37" s="602">
        <f t="shared" si="32"/>
        <v>0</v>
      </c>
      <c r="AF37" s="602">
        <f t="shared" si="32"/>
        <v>0</v>
      </c>
      <c r="AG37" s="602">
        <f t="shared" si="32"/>
        <v>0</v>
      </c>
      <c r="AH37" s="602">
        <f t="shared" si="32"/>
        <v>0</v>
      </c>
      <c r="AI37" s="602">
        <f t="shared" si="32"/>
        <v>0</v>
      </c>
      <c r="AJ37" s="602">
        <f t="shared" si="32"/>
        <v>0</v>
      </c>
    </row>
    <row r="38" spans="1:36" s="605" customFormat="1">
      <c r="A38" s="605">
        <f>Treatment_Guidelines!B70</f>
        <v>0</v>
      </c>
      <c r="B38" s="604">
        <f>Treatment_Guidelines!D70</f>
        <v>0</v>
      </c>
      <c r="C38" s="604">
        <f t="shared" ref="C38:G47" si="43">B38</f>
        <v>0</v>
      </c>
      <c r="D38" s="604">
        <f t="shared" si="43"/>
        <v>0</v>
      </c>
      <c r="E38" s="604">
        <f t="shared" si="43"/>
        <v>0</v>
      </c>
      <c r="F38" s="604">
        <f t="shared" si="43"/>
        <v>0</v>
      </c>
      <c r="G38" s="604">
        <f t="shared" si="43"/>
        <v>0</v>
      </c>
      <c r="I38" s="604">
        <f>Treatment_Guidelines!E70</f>
        <v>0</v>
      </c>
      <c r="J38" s="604">
        <f t="shared" si="1"/>
        <v>0</v>
      </c>
      <c r="K38" s="604">
        <f t="shared" si="2"/>
        <v>0</v>
      </c>
      <c r="L38" s="604">
        <f t="shared" si="3"/>
        <v>0</v>
      </c>
      <c r="M38" s="604">
        <f t="shared" si="4"/>
        <v>0</v>
      </c>
      <c r="N38" s="604">
        <f t="shared" si="5"/>
        <v>0</v>
      </c>
      <c r="O38" s="606"/>
      <c r="P38" s="605">
        <v>5</v>
      </c>
      <c r="Q38" s="607">
        <f>INDEX(Summary_Services!$B$6:$AF$105,$P38,26)</f>
        <v>0</v>
      </c>
      <c r="R38" s="607">
        <f>INDEX(Summary_Services!$B$6:$AF$105,$P38,27)</f>
        <v>0</v>
      </c>
      <c r="S38" s="607">
        <f>INDEX(Summary_Services!$B$6:$AF$105,$P38,28)</f>
        <v>0</v>
      </c>
      <c r="T38" s="607">
        <f>INDEX(Summary_Services!$B$6:$AF$105,$P38,29)</f>
        <v>0</v>
      </c>
      <c r="U38" s="607">
        <f>INDEX(Summary_Services!$B$6:$AF$105,$P38,30)</f>
        <v>0</v>
      </c>
      <c r="V38" s="607">
        <f>INDEX(Summary_Services!$B$6:$AF$105,$P38,31)</f>
        <v>0</v>
      </c>
      <c r="X38" s="605">
        <f t="shared" si="31"/>
        <v>0</v>
      </c>
      <c r="Y38" s="605">
        <f t="shared" si="31"/>
        <v>0</v>
      </c>
      <c r="Z38" s="605">
        <f t="shared" si="31"/>
        <v>0</v>
      </c>
      <c r="AA38" s="605">
        <f t="shared" si="31"/>
        <v>0</v>
      </c>
      <c r="AB38" s="605">
        <f t="shared" si="31"/>
        <v>0</v>
      </c>
      <c r="AC38" s="605">
        <f t="shared" si="31"/>
        <v>0</v>
      </c>
      <c r="AE38" s="607">
        <f t="shared" si="32"/>
        <v>0</v>
      </c>
      <c r="AF38" s="607">
        <f t="shared" si="32"/>
        <v>0</v>
      </c>
      <c r="AG38" s="607">
        <f t="shared" si="32"/>
        <v>0</v>
      </c>
      <c r="AH38" s="607">
        <f t="shared" si="32"/>
        <v>0</v>
      </c>
      <c r="AI38" s="607">
        <f t="shared" si="32"/>
        <v>0</v>
      </c>
      <c r="AJ38" s="607">
        <f t="shared" si="32"/>
        <v>0</v>
      </c>
    </row>
    <row r="39" spans="1:36">
      <c r="A39" s="90">
        <f>Treatment_Guidelines!B71</f>
        <v>0</v>
      </c>
      <c r="B39" s="597">
        <f>Treatment_Guidelines!D71</f>
        <v>0</v>
      </c>
      <c r="C39" s="597">
        <f t="shared" si="43"/>
        <v>0</v>
      </c>
      <c r="D39" s="597">
        <f t="shared" si="43"/>
        <v>0</v>
      </c>
      <c r="E39" s="597">
        <f t="shared" si="43"/>
        <v>0</v>
      </c>
      <c r="F39" s="597">
        <f t="shared" si="43"/>
        <v>0</v>
      </c>
      <c r="G39" s="597">
        <f t="shared" si="43"/>
        <v>0</v>
      </c>
      <c r="I39" s="597">
        <f>Treatment_Guidelines!E71</f>
        <v>0</v>
      </c>
      <c r="J39" s="597">
        <f t="shared" si="1"/>
        <v>0</v>
      </c>
      <c r="K39" s="597">
        <f t="shared" si="2"/>
        <v>0</v>
      </c>
      <c r="L39" s="597">
        <f t="shared" si="3"/>
        <v>0</v>
      </c>
      <c r="M39" s="597">
        <f t="shared" si="4"/>
        <v>0</v>
      </c>
      <c r="N39" s="597">
        <f t="shared" si="5"/>
        <v>0</v>
      </c>
      <c r="O39" s="598"/>
      <c r="P39" s="90">
        <v>5</v>
      </c>
      <c r="Q39" s="71">
        <f>INDEX(Summary_Services!$B$6:$AF$105,$P39,26)</f>
        <v>0</v>
      </c>
      <c r="R39" s="71">
        <f>INDEX(Summary_Services!$B$6:$AF$105,$P39,27)</f>
        <v>0</v>
      </c>
      <c r="S39" s="71">
        <f>INDEX(Summary_Services!$B$6:$AF$105,$P39,28)</f>
        <v>0</v>
      </c>
      <c r="T39" s="71">
        <f>INDEX(Summary_Services!$B$6:$AF$105,$P39,29)</f>
        <v>0</v>
      </c>
      <c r="U39" s="71">
        <f>INDEX(Summary_Services!$B$6:$AF$105,$P39,30)</f>
        <v>0</v>
      </c>
      <c r="V39" s="71">
        <f>INDEX(Summary_Services!$B$6:$AF$105,$P39,31)</f>
        <v>0</v>
      </c>
      <c r="X39" s="90">
        <f t="shared" si="31"/>
        <v>0</v>
      </c>
      <c r="Y39" s="90">
        <f t="shared" si="31"/>
        <v>0</v>
      </c>
      <c r="Z39" s="90">
        <f t="shared" si="31"/>
        <v>0</v>
      </c>
      <c r="AA39" s="90">
        <f t="shared" si="31"/>
        <v>0</v>
      </c>
      <c r="AB39" s="90">
        <f t="shared" si="31"/>
        <v>0</v>
      </c>
      <c r="AC39" s="90">
        <f t="shared" si="31"/>
        <v>0</v>
      </c>
      <c r="AE39" s="71">
        <f t="shared" si="32"/>
        <v>0</v>
      </c>
      <c r="AF39" s="71">
        <f t="shared" si="32"/>
        <v>0</v>
      </c>
      <c r="AG39" s="71">
        <f t="shared" si="32"/>
        <v>0</v>
      </c>
      <c r="AH39" s="71">
        <f t="shared" si="32"/>
        <v>0</v>
      </c>
      <c r="AI39" s="71">
        <f t="shared" si="32"/>
        <v>0</v>
      </c>
      <c r="AJ39" s="71">
        <f t="shared" si="32"/>
        <v>0</v>
      </c>
    </row>
    <row r="40" spans="1:36">
      <c r="A40" s="90">
        <f>Treatment_Guidelines!B72</f>
        <v>0</v>
      </c>
      <c r="B40" s="597">
        <f>Treatment_Guidelines!D72</f>
        <v>0</v>
      </c>
      <c r="C40" s="597">
        <f t="shared" ref="C40:C45" si="44">B40</f>
        <v>0</v>
      </c>
      <c r="D40" s="597">
        <f t="shared" ref="D40:D45" si="45">C40</f>
        <v>0</v>
      </c>
      <c r="E40" s="597">
        <f t="shared" ref="E40:E45" si="46">D40</f>
        <v>0</v>
      </c>
      <c r="F40" s="597">
        <f t="shared" ref="F40:F45" si="47">E40</f>
        <v>0</v>
      </c>
      <c r="G40" s="597">
        <f t="shared" ref="G40:G45" si="48">F40</f>
        <v>0</v>
      </c>
      <c r="I40" s="597">
        <f>Treatment_Guidelines!E72</f>
        <v>0</v>
      </c>
      <c r="J40" s="597">
        <f t="shared" si="1"/>
        <v>0</v>
      </c>
      <c r="K40" s="597">
        <f t="shared" si="2"/>
        <v>0</v>
      </c>
      <c r="L40" s="597">
        <f t="shared" si="3"/>
        <v>0</v>
      </c>
      <c r="M40" s="597">
        <f t="shared" si="4"/>
        <v>0</v>
      </c>
      <c r="N40" s="597">
        <f t="shared" si="5"/>
        <v>0</v>
      </c>
      <c r="O40" s="598"/>
      <c r="P40" s="90">
        <v>5</v>
      </c>
      <c r="Q40" s="71">
        <f>INDEX(Summary_Services!$B$6:$AF$105,$P40,26)</f>
        <v>0</v>
      </c>
      <c r="R40" s="71">
        <f>INDEX(Summary_Services!$B$6:$AF$105,$P40,27)</f>
        <v>0</v>
      </c>
      <c r="S40" s="71">
        <f>INDEX(Summary_Services!$B$6:$AF$105,$P40,28)</f>
        <v>0</v>
      </c>
      <c r="T40" s="71">
        <f>INDEX(Summary_Services!$B$6:$AF$105,$P40,29)</f>
        <v>0</v>
      </c>
      <c r="U40" s="71">
        <f>INDEX(Summary_Services!$B$6:$AF$105,$P40,30)</f>
        <v>0</v>
      </c>
      <c r="V40" s="71">
        <f>INDEX(Summary_Services!$B$6:$AF$105,$P40,31)</f>
        <v>0</v>
      </c>
      <c r="X40" s="90">
        <f t="shared" si="31"/>
        <v>0</v>
      </c>
      <c r="Y40" s="90">
        <f t="shared" si="31"/>
        <v>0</v>
      </c>
      <c r="Z40" s="90">
        <f t="shared" si="31"/>
        <v>0</v>
      </c>
      <c r="AA40" s="90">
        <f t="shared" si="31"/>
        <v>0</v>
      </c>
      <c r="AB40" s="90">
        <f t="shared" si="31"/>
        <v>0</v>
      </c>
      <c r="AC40" s="90">
        <f t="shared" si="31"/>
        <v>0</v>
      </c>
      <c r="AE40" s="71">
        <f t="shared" si="32"/>
        <v>0</v>
      </c>
      <c r="AF40" s="71">
        <f t="shared" si="32"/>
        <v>0</v>
      </c>
      <c r="AG40" s="71">
        <f t="shared" si="32"/>
        <v>0</v>
      </c>
      <c r="AH40" s="71">
        <f t="shared" si="32"/>
        <v>0</v>
      </c>
      <c r="AI40" s="71">
        <f t="shared" si="32"/>
        <v>0</v>
      </c>
      <c r="AJ40" s="71">
        <f t="shared" si="32"/>
        <v>0</v>
      </c>
    </row>
    <row r="41" spans="1:36">
      <c r="A41" s="90">
        <f>Treatment_Guidelines!B73</f>
        <v>0</v>
      </c>
      <c r="B41" s="597">
        <f>Treatment_Guidelines!D73</f>
        <v>0</v>
      </c>
      <c r="C41" s="597">
        <f t="shared" si="44"/>
        <v>0</v>
      </c>
      <c r="D41" s="597">
        <f t="shared" si="45"/>
        <v>0</v>
      </c>
      <c r="E41" s="597">
        <f t="shared" si="46"/>
        <v>0</v>
      </c>
      <c r="F41" s="597">
        <f t="shared" si="47"/>
        <v>0</v>
      </c>
      <c r="G41" s="597">
        <f t="shared" si="48"/>
        <v>0</v>
      </c>
      <c r="I41" s="597">
        <f>Treatment_Guidelines!E73</f>
        <v>0</v>
      </c>
      <c r="J41" s="597">
        <f t="shared" si="1"/>
        <v>0</v>
      </c>
      <c r="K41" s="597">
        <f t="shared" si="2"/>
        <v>0</v>
      </c>
      <c r="L41" s="597">
        <f t="shared" si="3"/>
        <v>0</v>
      </c>
      <c r="M41" s="597">
        <f t="shared" si="4"/>
        <v>0</v>
      </c>
      <c r="N41" s="597">
        <f t="shared" si="5"/>
        <v>0</v>
      </c>
      <c r="O41" s="598"/>
      <c r="P41" s="90">
        <v>5</v>
      </c>
      <c r="Q41" s="71">
        <f>INDEX(Summary_Services!$B$6:$AF$105,$P41,26)</f>
        <v>0</v>
      </c>
      <c r="R41" s="71">
        <f>INDEX(Summary_Services!$B$6:$AF$105,$P41,27)</f>
        <v>0</v>
      </c>
      <c r="S41" s="71">
        <f>INDEX(Summary_Services!$B$6:$AF$105,$P41,28)</f>
        <v>0</v>
      </c>
      <c r="T41" s="71">
        <f>INDEX(Summary_Services!$B$6:$AF$105,$P41,29)</f>
        <v>0</v>
      </c>
      <c r="U41" s="71">
        <f>INDEX(Summary_Services!$B$6:$AF$105,$P41,30)</f>
        <v>0</v>
      </c>
      <c r="V41" s="71">
        <f>INDEX(Summary_Services!$B$6:$AF$105,$P41,31)</f>
        <v>0</v>
      </c>
      <c r="X41" s="90">
        <f t="shared" si="31"/>
        <v>0</v>
      </c>
      <c r="Y41" s="90">
        <f t="shared" si="31"/>
        <v>0</v>
      </c>
      <c r="Z41" s="90">
        <f t="shared" si="31"/>
        <v>0</v>
      </c>
      <c r="AA41" s="90">
        <f t="shared" si="31"/>
        <v>0</v>
      </c>
      <c r="AB41" s="90">
        <f t="shared" si="31"/>
        <v>0</v>
      </c>
      <c r="AC41" s="90">
        <f t="shared" si="31"/>
        <v>0</v>
      </c>
      <c r="AE41" s="71">
        <f t="shared" si="32"/>
        <v>0</v>
      </c>
      <c r="AF41" s="71">
        <f t="shared" si="32"/>
        <v>0</v>
      </c>
      <c r="AG41" s="71">
        <f t="shared" si="32"/>
        <v>0</v>
      </c>
      <c r="AH41" s="71">
        <f t="shared" si="32"/>
        <v>0</v>
      </c>
      <c r="AI41" s="71">
        <f t="shared" si="32"/>
        <v>0</v>
      </c>
      <c r="AJ41" s="71">
        <f t="shared" si="32"/>
        <v>0</v>
      </c>
    </row>
    <row r="42" spans="1:36">
      <c r="A42" s="90">
        <f>Treatment_Guidelines!B74</f>
        <v>0</v>
      </c>
      <c r="B42" s="597">
        <f>Treatment_Guidelines!D74</f>
        <v>0</v>
      </c>
      <c r="C42" s="597">
        <f t="shared" si="44"/>
        <v>0</v>
      </c>
      <c r="D42" s="597">
        <f t="shared" si="45"/>
        <v>0</v>
      </c>
      <c r="E42" s="597">
        <f t="shared" si="46"/>
        <v>0</v>
      </c>
      <c r="F42" s="597">
        <f t="shared" si="47"/>
        <v>0</v>
      </c>
      <c r="G42" s="597">
        <f t="shared" si="48"/>
        <v>0</v>
      </c>
      <c r="I42" s="597">
        <f>Treatment_Guidelines!E74</f>
        <v>0</v>
      </c>
      <c r="J42" s="597">
        <f t="shared" si="1"/>
        <v>0</v>
      </c>
      <c r="K42" s="597">
        <f t="shared" si="2"/>
        <v>0</v>
      </c>
      <c r="L42" s="597">
        <f t="shared" si="3"/>
        <v>0</v>
      </c>
      <c r="M42" s="597">
        <f t="shared" si="4"/>
        <v>0</v>
      </c>
      <c r="N42" s="597">
        <f t="shared" si="5"/>
        <v>0</v>
      </c>
      <c r="O42" s="598"/>
      <c r="P42" s="90">
        <v>5</v>
      </c>
      <c r="Q42" s="71">
        <f>INDEX(Summary_Services!$B$6:$AF$105,$P42,26)</f>
        <v>0</v>
      </c>
      <c r="R42" s="71">
        <f>INDEX(Summary_Services!$B$6:$AF$105,$P42,27)</f>
        <v>0</v>
      </c>
      <c r="S42" s="71">
        <f>INDEX(Summary_Services!$B$6:$AF$105,$P42,28)</f>
        <v>0</v>
      </c>
      <c r="T42" s="71">
        <f>INDEX(Summary_Services!$B$6:$AF$105,$P42,29)</f>
        <v>0</v>
      </c>
      <c r="U42" s="71">
        <f>INDEX(Summary_Services!$B$6:$AF$105,$P42,30)</f>
        <v>0</v>
      </c>
      <c r="V42" s="71">
        <f>INDEX(Summary_Services!$B$6:$AF$105,$P42,31)</f>
        <v>0</v>
      </c>
      <c r="X42" s="90">
        <f t="shared" si="31"/>
        <v>0</v>
      </c>
      <c r="Y42" s="90">
        <f t="shared" si="31"/>
        <v>0</v>
      </c>
      <c r="Z42" s="90">
        <f t="shared" si="31"/>
        <v>0</v>
      </c>
      <c r="AA42" s="90">
        <f t="shared" si="31"/>
        <v>0</v>
      </c>
      <c r="AB42" s="90">
        <f t="shared" si="31"/>
        <v>0</v>
      </c>
      <c r="AC42" s="90">
        <f t="shared" si="31"/>
        <v>0</v>
      </c>
      <c r="AE42" s="71">
        <f t="shared" si="32"/>
        <v>0</v>
      </c>
      <c r="AF42" s="71">
        <f t="shared" si="32"/>
        <v>0</v>
      </c>
      <c r="AG42" s="71">
        <f t="shared" si="32"/>
        <v>0</v>
      </c>
      <c r="AH42" s="71">
        <f t="shared" si="32"/>
        <v>0</v>
      </c>
      <c r="AI42" s="71">
        <f t="shared" si="32"/>
        <v>0</v>
      </c>
      <c r="AJ42" s="71">
        <f t="shared" si="32"/>
        <v>0</v>
      </c>
    </row>
    <row r="43" spans="1:36">
      <c r="A43" s="90">
        <f>Treatment_Guidelines!B75</f>
        <v>0</v>
      </c>
      <c r="B43" s="597">
        <f>Treatment_Guidelines!D75</f>
        <v>0</v>
      </c>
      <c r="C43" s="597">
        <f t="shared" si="44"/>
        <v>0</v>
      </c>
      <c r="D43" s="597">
        <f t="shared" si="45"/>
        <v>0</v>
      </c>
      <c r="E43" s="597">
        <f t="shared" si="46"/>
        <v>0</v>
      </c>
      <c r="F43" s="597">
        <f t="shared" si="47"/>
        <v>0</v>
      </c>
      <c r="G43" s="597">
        <f t="shared" si="48"/>
        <v>0</v>
      </c>
      <c r="I43" s="597">
        <f>Treatment_Guidelines!E75</f>
        <v>0</v>
      </c>
      <c r="J43" s="597">
        <f t="shared" si="1"/>
        <v>0</v>
      </c>
      <c r="K43" s="597">
        <f t="shared" si="2"/>
        <v>0</v>
      </c>
      <c r="L43" s="597">
        <f t="shared" si="3"/>
        <v>0</v>
      </c>
      <c r="M43" s="597">
        <f t="shared" si="4"/>
        <v>0</v>
      </c>
      <c r="N43" s="597">
        <f t="shared" si="5"/>
        <v>0</v>
      </c>
      <c r="O43" s="598"/>
      <c r="P43" s="90">
        <v>5</v>
      </c>
      <c r="Q43" s="71">
        <f>INDEX(Summary_Services!$B$6:$AF$105,$P43,26)</f>
        <v>0</v>
      </c>
      <c r="R43" s="71">
        <f>INDEX(Summary_Services!$B$6:$AF$105,$P43,27)</f>
        <v>0</v>
      </c>
      <c r="S43" s="71">
        <f>INDEX(Summary_Services!$B$6:$AF$105,$P43,28)</f>
        <v>0</v>
      </c>
      <c r="T43" s="71">
        <f>INDEX(Summary_Services!$B$6:$AF$105,$P43,29)</f>
        <v>0</v>
      </c>
      <c r="U43" s="71">
        <f>INDEX(Summary_Services!$B$6:$AF$105,$P43,30)</f>
        <v>0</v>
      </c>
      <c r="V43" s="71">
        <f>INDEX(Summary_Services!$B$6:$AF$105,$P43,31)</f>
        <v>0</v>
      </c>
      <c r="X43" s="90">
        <f t="shared" si="31"/>
        <v>0</v>
      </c>
      <c r="Y43" s="90">
        <f t="shared" si="31"/>
        <v>0</v>
      </c>
      <c r="Z43" s="90">
        <f t="shared" si="31"/>
        <v>0</v>
      </c>
      <c r="AA43" s="90">
        <f t="shared" si="31"/>
        <v>0</v>
      </c>
      <c r="AB43" s="90">
        <f t="shared" si="31"/>
        <v>0</v>
      </c>
      <c r="AC43" s="90">
        <f t="shared" si="31"/>
        <v>0</v>
      </c>
      <c r="AE43" s="71">
        <f t="shared" si="32"/>
        <v>0</v>
      </c>
      <c r="AF43" s="71">
        <f t="shared" si="32"/>
        <v>0</v>
      </c>
      <c r="AG43" s="71">
        <f t="shared" si="32"/>
        <v>0</v>
      </c>
      <c r="AH43" s="71">
        <f t="shared" si="32"/>
        <v>0</v>
      </c>
      <c r="AI43" s="71">
        <f t="shared" si="32"/>
        <v>0</v>
      </c>
      <c r="AJ43" s="71">
        <f t="shared" si="32"/>
        <v>0</v>
      </c>
    </row>
    <row r="44" spans="1:36">
      <c r="A44" s="90">
        <f>Treatment_Guidelines!B76</f>
        <v>0</v>
      </c>
      <c r="B44" s="597">
        <f>Treatment_Guidelines!D76</f>
        <v>0</v>
      </c>
      <c r="C44" s="597">
        <f t="shared" si="44"/>
        <v>0</v>
      </c>
      <c r="D44" s="597">
        <f t="shared" si="45"/>
        <v>0</v>
      </c>
      <c r="E44" s="597">
        <f t="shared" si="46"/>
        <v>0</v>
      </c>
      <c r="F44" s="597">
        <f t="shared" si="47"/>
        <v>0</v>
      </c>
      <c r="G44" s="597">
        <f t="shared" si="48"/>
        <v>0</v>
      </c>
      <c r="I44" s="597">
        <f>Treatment_Guidelines!E76</f>
        <v>0</v>
      </c>
      <c r="J44" s="597">
        <f t="shared" si="1"/>
        <v>0</v>
      </c>
      <c r="K44" s="597">
        <f t="shared" si="2"/>
        <v>0</v>
      </c>
      <c r="L44" s="597">
        <f t="shared" si="3"/>
        <v>0</v>
      </c>
      <c r="M44" s="597">
        <f t="shared" si="4"/>
        <v>0</v>
      </c>
      <c r="N44" s="597">
        <f t="shared" si="5"/>
        <v>0</v>
      </c>
      <c r="O44" s="598"/>
      <c r="P44" s="90">
        <v>5</v>
      </c>
      <c r="Q44" s="71">
        <f>INDEX(Summary_Services!$B$6:$AF$105,$P44,26)</f>
        <v>0</v>
      </c>
      <c r="R44" s="71">
        <f>INDEX(Summary_Services!$B$6:$AF$105,$P44,27)</f>
        <v>0</v>
      </c>
      <c r="S44" s="71">
        <f>INDEX(Summary_Services!$B$6:$AF$105,$P44,28)</f>
        <v>0</v>
      </c>
      <c r="T44" s="71">
        <f>INDEX(Summary_Services!$B$6:$AF$105,$P44,29)</f>
        <v>0</v>
      </c>
      <c r="U44" s="71">
        <f>INDEX(Summary_Services!$B$6:$AF$105,$P44,30)</f>
        <v>0</v>
      </c>
      <c r="V44" s="71">
        <f>INDEX(Summary_Services!$B$6:$AF$105,$P44,31)</f>
        <v>0</v>
      </c>
      <c r="X44" s="90">
        <f t="shared" si="31"/>
        <v>0</v>
      </c>
      <c r="Y44" s="90">
        <f t="shared" si="31"/>
        <v>0</v>
      </c>
      <c r="Z44" s="90">
        <f t="shared" si="31"/>
        <v>0</v>
      </c>
      <c r="AA44" s="90">
        <f t="shared" si="31"/>
        <v>0</v>
      </c>
      <c r="AB44" s="90">
        <f t="shared" si="31"/>
        <v>0</v>
      </c>
      <c r="AC44" s="90">
        <f t="shared" si="31"/>
        <v>0</v>
      </c>
      <c r="AE44" s="71">
        <f t="shared" si="32"/>
        <v>0</v>
      </c>
      <c r="AF44" s="71">
        <f t="shared" si="32"/>
        <v>0</v>
      </c>
      <c r="AG44" s="71">
        <f t="shared" si="32"/>
        <v>0</v>
      </c>
      <c r="AH44" s="71">
        <f t="shared" si="32"/>
        <v>0</v>
      </c>
      <c r="AI44" s="71">
        <f t="shared" si="32"/>
        <v>0</v>
      </c>
      <c r="AJ44" s="71">
        <f t="shared" si="32"/>
        <v>0</v>
      </c>
    </row>
    <row r="45" spans="1:36" s="599" customFormat="1">
      <c r="A45" s="90">
        <f>Treatment_Guidelines!B77</f>
        <v>0</v>
      </c>
      <c r="B45" s="597">
        <f>Treatment_Guidelines!D77</f>
        <v>0</v>
      </c>
      <c r="C45" s="597">
        <f t="shared" si="44"/>
        <v>0</v>
      </c>
      <c r="D45" s="597">
        <f t="shared" si="45"/>
        <v>0</v>
      </c>
      <c r="E45" s="597">
        <f t="shared" si="46"/>
        <v>0</v>
      </c>
      <c r="F45" s="597">
        <f t="shared" si="47"/>
        <v>0</v>
      </c>
      <c r="G45" s="597">
        <f t="shared" si="48"/>
        <v>0</v>
      </c>
      <c r="I45" s="597">
        <f>Treatment_Guidelines!E77</f>
        <v>0</v>
      </c>
      <c r="J45" s="600">
        <f t="shared" si="1"/>
        <v>0</v>
      </c>
      <c r="K45" s="600">
        <f t="shared" si="2"/>
        <v>0</v>
      </c>
      <c r="L45" s="600">
        <f t="shared" si="3"/>
        <v>0</v>
      </c>
      <c r="M45" s="600">
        <f t="shared" si="4"/>
        <v>0</v>
      </c>
      <c r="N45" s="600">
        <f t="shared" si="5"/>
        <v>0</v>
      </c>
      <c r="O45" s="601"/>
      <c r="P45" s="599">
        <v>5</v>
      </c>
      <c r="Q45" s="602">
        <f>INDEX(Summary_Services!$B$6:$AF$105,$P45,26)</f>
        <v>0</v>
      </c>
      <c r="R45" s="602">
        <f>INDEX(Summary_Services!$B$6:$AF$105,$P45,27)</f>
        <v>0</v>
      </c>
      <c r="S45" s="602">
        <f>INDEX(Summary_Services!$B$6:$AF$105,$P45,28)</f>
        <v>0</v>
      </c>
      <c r="T45" s="602">
        <f>INDEX(Summary_Services!$B$6:$AF$105,$P45,29)</f>
        <v>0</v>
      </c>
      <c r="U45" s="602">
        <f>INDEX(Summary_Services!$B$6:$AF$105,$P45,30)</f>
        <v>0</v>
      </c>
      <c r="V45" s="602">
        <f>INDEX(Summary_Services!$B$6:$AF$105,$P45,31)</f>
        <v>0</v>
      </c>
      <c r="X45" s="599">
        <f t="shared" si="31"/>
        <v>0</v>
      </c>
      <c r="Y45" s="599">
        <f t="shared" si="31"/>
        <v>0</v>
      </c>
      <c r="Z45" s="599">
        <f t="shared" si="31"/>
        <v>0</v>
      </c>
      <c r="AA45" s="599">
        <f t="shared" si="31"/>
        <v>0</v>
      </c>
      <c r="AB45" s="599">
        <f t="shared" si="31"/>
        <v>0</v>
      </c>
      <c r="AC45" s="599">
        <f t="shared" si="31"/>
        <v>0</v>
      </c>
      <c r="AE45" s="602">
        <f t="shared" si="32"/>
        <v>0</v>
      </c>
      <c r="AF45" s="602">
        <f t="shared" si="32"/>
        <v>0</v>
      </c>
      <c r="AG45" s="602">
        <f t="shared" si="32"/>
        <v>0</v>
      </c>
      <c r="AH45" s="602">
        <f t="shared" si="32"/>
        <v>0</v>
      </c>
      <c r="AI45" s="602">
        <f t="shared" si="32"/>
        <v>0</v>
      </c>
      <c r="AJ45" s="602">
        <f t="shared" si="32"/>
        <v>0</v>
      </c>
    </row>
    <row r="46" spans="1:36" s="605" customFormat="1">
      <c r="A46" s="605">
        <f>Treatment_Guidelines!B86</f>
        <v>0</v>
      </c>
      <c r="B46" s="604">
        <f>Treatment_Guidelines!D86</f>
        <v>0</v>
      </c>
      <c r="C46" s="604">
        <f t="shared" si="43"/>
        <v>0</v>
      </c>
      <c r="D46" s="604">
        <f t="shared" si="43"/>
        <v>0</v>
      </c>
      <c r="E46" s="604">
        <f t="shared" si="43"/>
        <v>0</v>
      </c>
      <c r="F46" s="604">
        <f t="shared" si="43"/>
        <v>0</v>
      </c>
      <c r="G46" s="604">
        <f t="shared" si="43"/>
        <v>0</v>
      </c>
      <c r="I46" s="604">
        <f>Treatment_Guidelines!E86</f>
        <v>0</v>
      </c>
      <c r="J46" s="604">
        <f t="shared" si="1"/>
        <v>0</v>
      </c>
      <c r="K46" s="604">
        <f t="shared" si="2"/>
        <v>0</v>
      </c>
      <c r="L46" s="604">
        <f t="shared" si="3"/>
        <v>0</v>
      </c>
      <c r="M46" s="604">
        <f t="shared" si="4"/>
        <v>0</v>
      </c>
      <c r="N46" s="604">
        <f t="shared" si="5"/>
        <v>0</v>
      </c>
      <c r="O46" s="606"/>
      <c r="P46" s="605">
        <v>6</v>
      </c>
      <c r="Q46" s="607">
        <f>INDEX(Summary_Services!$B$6:$AF$105,$P46,26)</f>
        <v>0</v>
      </c>
      <c r="R46" s="607">
        <f>INDEX(Summary_Services!$B$6:$AF$105,$P46,27)</f>
        <v>0</v>
      </c>
      <c r="S46" s="607">
        <f>INDEX(Summary_Services!$B$6:$AF$105,$P46,28)</f>
        <v>0</v>
      </c>
      <c r="T46" s="607">
        <f>INDEX(Summary_Services!$B$6:$AF$105,$P46,29)</f>
        <v>0</v>
      </c>
      <c r="U46" s="607">
        <f>INDEX(Summary_Services!$B$6:$AF$105,$P46,30)</f>
        <v>0</v>
      </c>
      <c r="V46" s="607">
        <f>INDEX(Summary_Services!$B$6:$AF$105,$P46,31)</f>
        <v>0</v>
      </c>
      <c r="X46" s="605">
        <f t="shared" si="31"/>
        <v>0</v>
      </c>
      <c r="Y46" s="605">
        <f t="shared" si="31"/>
        <v>0</v>
      </c>
      <c r="Z46" s="605">
        <f t="shared" si="31"/>
        <v>0</v>
      </c>
      <c r="AA46" s="605">
        <f t="shared" si="31"/>
        <v>0</v>
      </c>
      <c r="AB46" s="605">
        <f t="shared" si="31"/>
        <v>0</v>
      </c>
      <c r="AC46" s="605">
        <f t="shared" si="31"/>
        <v>0</v>
      </c>
      <c r="AE46" s="607">
        <f t="shared" si="32"/>
        <v>0</v>
      </c>
      <c r="AF46" s="607">
        <f t="shared" si="32"/>
        <v>0</v>
      </c>
      <c r="AG46" s="607">
        <f t="shared" si="32"/>
        <v>0</v>
      </c>
      <c r="AH46" s="607">
        <f t="shared" si="32"/>
        <v>0</v>
      </c>
      <c r="AI46" s="607">
        <f t="shared" si="32"/>
        <v>0</v>
      </c>
      <c r="AJ46" s="607">
        <f t="shared" si="32"/>
        <v>0</v>
      </c>
    </row>
    <row r="47" spans="1:36">
      <c r="A47" s="90">
        <f>Treatment_Guidelines!B87</f>
        <v>0</v>
      </c>
      <c r="B47" s="597">
        <f>Treatment_Guidelines!D87</f>
        <v>0</v>
      </c>
      <c r="C47" s="597">
        <f t="shared" si="43"/>
        <v>0</v>
      </c>
      <c r="D47" s="597">
        <f t="shared" si="43"/>
        <v>0</v>
      </c>
      <c r="E47" s="597">
        <f t="shared" si="43"/>
        <v>0</v>
      </c>
      <c r="F47" s="597">
        <f t="shared" si="43"/>
        <v>0</v>
      </c>
      <c r="G47" s="597">
        <f t="shared" si="43"/>
        <v>0</v>
      </c>
      <c r="I47" s="597">
        <f>Treatment_Guidelines!E86</f>
        <v>0</v>
      </c>
      <c r="J47" s="597">
        <f t="shared" si="1"/>
        <v>0</v>
      </c>
      <c r="K47" s="597">
        <f t="shared" si="2"/>
        <v>0</v>
      </c>
      <c r="L47" s="597">
        <f t="shared" si="3"/>
        <v>0</v>
      </c>
      <c r="M47" s="597">
        <f t="shared" si="4"/>
        <v>0</v>
      </c>
      <c r="N47" s="597">
        <f t="shared" si="5"/>
        <v>0</v>
      </c>
      <c r="O47" s="598"/>
      <c r="P47" s="90">
        <v>6</v>
      </c>
      <c r="Q47" s="71">
        <f>INDEX(Summary_Services!$B$6:$AF$105,$P47,26)</f>
        <v>0</v>
      </c>
      <c r="R47" s="71">
        <f>INDEX(Summary_Services!$B$6:$AF$105,$P47,27)</f>
        <v>0</v>
      </c>
      <c r="S47" s="71">
        <f>INDEX(Summary_Services!$B$6:$AF$105,$P47,28)</f>
        <v>0</v>
      </c>
      <c r="T47" s="71">
        <f>INDEX(Summary_Services!$B$6:$AF$105,$P47,29)</f>
        <v>0</v>
      </c>
      <c r="U47" s="71">
        <f>INDEX(Summary_Services!$B$6:$AF$105,$P47,30)</f>
        <v>0</v>
      </c>
      <c r="V47" s="71">
        <f>INDEX(Summary_Services!$B$6:$AF$105,$P47,31)</f>
        <v>0</v>
      </c>
      <c r="X47" s="90">
        <f t="shared" si="31"/>
        <v>0</v>
      </c>
      <c r="Y47" s="90">
        <f t="shared" si="31"/>
        <v>0</v>
      </c>
      <c r="Z47" s="90">
        <f t="shared" si="31"/>
        <v>0</v>
      </c>
      <c r="AA47" s="90">
        <f t="shared" si="31"/>
        <v>0</v>
      </c>
      <c r="AB47" s="90">
        <f t="shared" si="31"/>
        <v>0</v>
      </c>
      <c r="AC47" s="90">
        <f t="shared" si="31"/>
        <v>0</v>
      </c>
      <c r="AE47" s="71">
        <f t="shared" si="32"/>
        <v>0</v>
      </c>
      <c r="AF47" s="71">
        <f t="shared" si="32"/>
        <v>0</v>
      </c>
      <c r="AG47" s="71">
        <f t="shared" si="32"/>
        <v>0</v>
      </c>
      <c r="AH47" s="71">
        <f t="shared" si="32"/>
        <v>0</v>
      </c>
      <c r="AI47" s="71">
        <f t="shared" si="32"/>
        <v>0</v>
      </c>
      <c r="AJ47" s="71">
        <f t="shared" si="32"/>
        <v>0</v>
      </c>
    </row>
    <row r="48" spans="1:36">
      <c r="A48" s="90">
        <f>Treatment_Guidelines!B88</f>
        <v>0</v>
      </c>
      <c r="B48" s="597">
        <f>Treatment_Guidelines!D88</f>
        <v>0</v>
      </c>
      <c r="C48" s="597">
        <f t="shared" ref="C48:C53" si="49">B48</f>
        <v>0</v>
      </c>
      <c r="D48" s="597">
        <f t="shared" ref="D48:D53" si="50">C48</f>
        <v>0</v>
      </c>
      <c r="E48" s="597">
        <f t="shared" ref="E48:E53" si="51">D48</f>
        <v>0</v>
      </c>
      <c r="F48" s="597">
        <f t="shared" ref="F48:F53" si="52">E48</f>
        <v>0</v>
      </c>
      <c r="G48" s="597">
        <f t="shared" ref="G48:G53" si="53">F48</f>
        <v>0</v>
      </c>
      <c r="I48" s="597">
        <f>Treatment_Guidelines!E87</f>
        <v>0</v>
      </c>
      <c r="J48" s="597">
        <f t="shared" si="1"/>
        <v>0</v>
      </c>
      <c r="K48" s="597">
        <f t="shared" si="2"/>
        <v>0</v>
      </c>
      <c r="L48" s="597">
        <f t="shared" si="3"/>
        <v>0</v>
      </c>
      <c r="M48" s="597">
        <f t="shared" si="4"/>
        <v>0</v>
      </c>
      <c r="N48" s="597">
        <f t="shared" si="5"/>
        <v>0</v>
      </c>
      <c r="O48" s="598"/>
      <c r="P48" s="90">
        <v>6</v>
      </c>
      <c r="Q48" s="71">
        <f>INDEX(Summary_Services!$B$6:$AF$105,$P48,26)</f>
        <v>0</v>
      </c>
      <c r="R48" s="71">
        <f>INDEX(Summary_Services!$B$6:$AF$105,$P48,27)</f>
        <v>0</v>
      </c>
      <c r="S48" s="71">
        <f>INDEX(Summary_Services!$B$6:$AF$105,$P48,28)</f>
        <v>0</v>
      </c>
      <c r="T48" s="71">
        <f>INDEX(Summary_Services!$B$6:$AF$105,$P48,29)</f>
        <v>0</v>
      </c>
      <c r="U48" s="71">
        <f>INDEX(Summary_Services!$B$6:$AF$105,$P48,30)</f>
        <v>0</v>
      </c>
      <c r="V48" s="71">
        <f>INDEX(Summary_Services!$B$6:$AF$105,$P48,31)</f>
        <v>0</v>
      </c>
      <c r="X48" s="90">
        <f t="shared" si="31"/>
        <v>0</v>
      </c>
      <c r="Y48" s="90">
        <f t="shared" si="31"/>
        <v>0</v>
      </c>
      <c r="Z48" s="90">
        <f t="shared" si="31"/>
        <v>0</v>
      </c>
      <c r="AA48" s="90">
        <f t="shared" si="31"/>
        <v>0</v>
      </c>
      <c r="AB48" s="90">
        <f t="shared" si="31"/>
        <v>0</v>
      </c>
      <c r="AC48" s="90">
        <f t="shared" si="31"/>
        <v>0</v>
      </c>
      <c r="AE48" s="71">
        <f t="shared" si="32"/>
        <v>0</v>
      </c>
      <c r="AF48" s="71">
        <f t="shared" si="32"/>
        <v>0</v>
      </c>
      <c r="AG48" s="71">
        <f t="shared" si="32"/>
        <v>0</v>
      </c>
      <c r="AH48" s="71">
        <f t="shared" si="32"/>
        <v>0</v>
      </c>
      <c r="AI48" s="71">
        <f t="shared" si="32"/>
        <v>0</v>
      </c>
      <c r="AJ48" s="71">
        <f t="shared" si="32"/>
        <v>0</v>
      </c>
    </row>
    <row r="49" spans="1:36">
      <c r="A49" s="90">
        <f>Treatment_Guidelines!B89</f>
        <v>0</v>
      </c>
      <c r="B49" s="597">
        <f>Treatment_Guidelines!D89</f>
        <v>0</v>
      </c>
      <c r="C49" s="597">
        <f t="shared" si="49"/>
        <v>0</v>
      </c>
      <c r="D49" s="597">
        <f t="shared" si="50"/>
        <v>0</v>
      </c>
      <c r="E49" s="597">
        <f t="shared" si="51"/>
        <v>0</v>
      </c>
      <c r="F49" s="597">
        <f t="shared" si="52"/>
        <v>0</v>
      </c>
      <c r="G49" s="597">
        <f t="shared" si="53"/>
        <v>0</v>
      </c>
      <c r="I49" s="597">
        <f>Treatment_Guidelines!E88</f>
        <v>0</v>
      </c>
      <c r="J49" s="597">
        <f t="shared" si="1"/>
        <v>0</v>
      </c>
      <c r="K49" s="597">
        <f t="shared" si="2"/>
        <v>0</v>
      </c>
      <c r="L49" s="597">
        <f t="shared" si="3"/>
        <v>0</v>
      </c>
      <c r="M49" s="597">
        <f t="shared" si="4"/>
        <v>0</v>
      </c>
      <c r="N49" s="597">
        <f t="shared" si="5"/>
        <v>0</v>
      </c>
      <c r="O49" s="598"/>
      <c r="P49" s="90">
        <v>6</v>
      </c>
      <c r="Q49" s="71">
        <f>INDEX(Summary_Services!$B$6:$AF$105,$P49,26)</f>
        <v>0</v>
      </c>
      <c r="R49" s="71">
        <f>INDEX(Summary_Services!$B$6:$AF$105,$P49,27)</f>
        <v>0</v>
      </c>
      <c r="S49" s="71">
        <f>INDEX(Summary_Services!$B$6:$AF$105,$P49,28)</f>
        <v>0</v>
      </c>
      <c r="T49" s="71">
        <f>INDEX(Summary_Services!$B$6:$AF$105,$P49,29)</f>
        <v>0</v>
      </c>
      <c r="U49" s="71">
        <f>INDEX(Summary_Services!$B$6:$AF$105,$P49,30)</f>
        <v>0</v>
      </c>
      <c r="V49" s="71">
        <f>INDEX(Summary_Services!$B$6:$AF$105,$P49,31)</f>
        <v>0</v>
      </c>
      <c r="X49" s="90">
        <f t="shared" si="31"/>
        <v>0</v>
      </c>
      <c r="Y49" s="90">
        <f t="shared" si="31"/>
        <v>0</v>
      </c>
      <c r="Z49" s="90">
        <f t="shared" si="31"/>
        <v>0</v>
      </c>
      <c r="AA49" s="90">
        <f t="shared" si="31"/>
        <v>0</v>
      </c>
      <c r="AB49" s="90">
        <f t="shared" si="31"/>
        <v>0</v>
      </c>
      <c r="AC49" s="90">
        <f t="shared" si="31"/>
        <v>0</v>
      </c>
      <c r="AE49" s="71">
        <f t="shared" si="32"/>
        <v>0</v>
      </c>
      <c r="AF49" s="71">
        <f t="shared" si="32"/>
        <v>0</v>
      </c>
      <c r="AG49" s="71">
        <f t="shared" si="32"/>
        <v>0</v>
      </c>
      <c r="AH49" s="71">
        <f t="shared" si="32"/>
        <v>0</v>
      </c>
      <c r="AI49" s="71">
        <f t="shared" si="32"/>
        <v>0</v>
      </c>
      <c r="AJ49" s="71">
        <f t="shared" si="32"/>
        <v>0</v>
      </c>
    </row>
    <row r="50" spans="1:36">
      <c r="A50" s="90">
        <f>Treatment_Guidelines!B90</f>
        <v>0</v>
      </c>
      <c r="B50" s="597">
        <f>Treatment_Guidelines!D90</f>
        <v>0</v>
      </c>
      <c r="C50" s="597">
        <f t="shared" si="49"/>
        <v>0</v>
      </c>
      <c r="D50" s="597">
        <f t="shared" si="50"/>
        <v>0</v>
      </c>
      <c r="E50" s="597">
        <f t="shared" si="51"/>
        <v>0</v>
      </c>
      <c r="F50" s="597">
        <f t="shared" si="52"/>
        <v>0</v>
      </c>
      <c r="G50" s="597">
        <f t="shared" si="53"/>
        <v>0</v>
      </c>
      <c r="I50" s="597">
        <f>Treatment_Guidelines!E89</f>
        <v>0</v>
      </c>
      <c r="J50" s="597">
        <f t="shared" si="1"/>
        <v>0</v>
      </c>
      <c r="K50" s="597">
        <f t="shared" si="2"/>
        <v>0</v>
      </c>
      <c r="L50" s="597">
        <f t="shared" si="3"/>
        <v>0</v>
      </c>
      <c r="M50" s="597">
        <f t="shared" si="4"/>
        <v>0</v>
      </c>
      <c r="N50" s="597">
        <f t="shared" si="5"/>
        <v>0</v>
      </c>
      <c r="O50" s="598"/>
      <c r="P50" s="90">
        <v>6</v>
      </c>
      <c r="Q50" s="71">
        <f>INDEX(Summary_Services!$B$6:$AF$105,$P50,26)</f>
        <v>0</v>
      </c>
      <c r="R50" s="71">
        <f>INDEX(Summary_Services!$B$6:$AF$105,$P50,27)</f>
        <v>0</v>
      </c>
      <c r="S50" s="71">
        <f>INDEX(Summary_Services!$B$6:$AF$105,$P50,28)</f>
        <v>0</v>
      </c>
      <c r="T50" s="71">
        <f>INDEX(Summary_Services!$B$6:$AF$105,$P50,29)</f>
        <v>0</v>
      </c>
      <c r="U50" s="71">
        <f>INDEX(Summary_Services!$B$6:$AF$105,$P50,30)</f>
        <v>0</v>
      </c>
      <c r="V50" s="71">
        <f>INDEX(Summary_Services!$B$6:$AF$105,$P50,31)</f>
        <v>0</v>
      </c>
      <c r="X50" s="90">
        <f t="shared" si="31"/>
        <v>0</v>
      </c>
      <c r="Y50" s="90">
        <f t="shared" si="31"/>
        <v>0</v>
      </c>
      <c r="Z50" s="90">
        <f t="shared" si="31"/>
        <v>0</v>
      </c>
      <c r="AA50" s="90">
        <f t="shared" si="31"/>
        <v>0</v>
      </c>
      <c r="AB50" s="90">
        <f t="shared" si="31"/>
        <v>0</v>
      </c>
      <c r="AC50" s="90">
        <f t="shared" si="31"/>
        <v>0</v>
      </c>
      <c r="AE50" s="71">
        <f t="shared" si="32"/>
        <v>0</v>
      </c>
      <c r="AF50" s="71">
        <f t="shared" si="32"/>
        <v>0</v>
      </c>
      <c r="AG50" s="71">
        <f t="shared" si="32"/>
        <v>0</v>
      </c>
      <c r="AH50" s="71">
        <f t="shared" si="32"/>
        <v>0</v>
      </c>
      <c r="AI50" s="71">
        <f t="shared" si="32"/>
        <v>0</v>
      </c>
      <c r="AJ50" s="71">
        <f t="shared" si="32"/>
        <v>0</v>
      </c>
    </row>
    <row r="51" spans="1:36">
      <c r="A51" s="90">
        <f>Treatment_Guidelines!B91</f>
        <v>0</v>
      </c>
      <c r="B51" s="597">
        <f>Treatment_Guidelines!D91</f>
        <v>0</v>
      </c>
      <c r="C51" s="597">
        <f t="shared" si="49"/>
        <v>0</v>
      </c>
      <c r="D51" s="597">
        <f t="shared" si="50"/>
        <v>0</v>
      </c>
      <c r="E51" s="597">
        <f t="shared" si="51"/>
        <v>0</v>
      </c>
      <c r="F51" s="597">
        <f t="shared" si="52"/>
        <v>0</v>
      </c>
      <c r="G51" s="597">
        <f t="shared" si="53"/>
        <v>0</v>
      </c>
      <c r="I51" s="597">
        <f>Treatment_Guidelines!E90</f>
        <v>0</v>
      </c>
      <c r="J51" s="597">
        <f t="shared" si="1"/>
        <v>0</v>
      </c>
      <c r="K51" s="597">
        <f t="shared" si="2"/>
        <v>0</v>
      </c>
      <c r="L51" s="597">
        <f t="shared" si="3"/>
        <v>0</v>
      </c>
      <c r="M51" s="597">
        <f t="shared" si="4"/>
        <v>0</v>
      </c>
      <c r="N51" s="597">
        <f t="shared" si="5"/>
        <v>0</v>
      </c>
      <c r="O51" s="598"/>
      <c r="P51" s="90">
        <v>6</v>
      </c>
      <c r="Q51" s="71">
        <f>INDEX(Summary_Services!$B$6:$AF$105,$P51,26)</f>
        <v>0</v>
      </c>
      <c r="R51" s="71">
        <f>INDEX(Summary_Services!$B$6:$AF$105,$P51,27)</f>
        <v>0</v>
      </c>
      <c r="S51" s="71">
        <f>INDEX(Summary_Services!$B$6:$AF$105,$P51,28)</f>
        <v>0</v>
      </c>
      <c r="T51" s="71">
        <f>INDEX(Summary_Services!$B$6:$AF$105,$P51,29)</f>
        <v>0</v>
      </c>
      <c r="U51" s="71">
        <f>INDEX(Summary_Services!$B$6:$AF$105,$P51,30)</f>
        <v>0</v>
      </c>
      <c r="V51" s="71">
        <f>INDEX(Summary_Services!$B$6:$AF$105,$P51,31)</f>
        <v>0</v>
      </c>
      <c r="X51" s="90">
        <f t="shared" si="31"/>
        <v>0</v>
      </c>
      <c r="Y51" s="90">
        <f t="shared" si="31"/>
        <v>0</v>
      </c>
      <c r="Z51" s="90">
        <f t="shared" si="31"/>
        <v>0</v>
      </c>
      <c r="AA51" s="90">
        <f t="shared" si="31"/>
        <v>0</v>
      </c>
      <c r="AB51" s="90">
        <f t="shared" si="31"/>
        <v>0</v>
      </c>
      <c r="AC51" s="90">
        <f t="shared" si="31"/>
        <v>0</v>
      </c>
      <c r="AE51" s="71">
        <f t="shared" si="32"/>
        <v>0</v>
      </c>
      <c r="AF51" s="71">
        <f t="shared" si="32"/>
        <v>0</v>
      </c>
      <c r="AG51" s="71">
        <f t="shared" si="32"/>
        <v>0</v>
      </c>
      <c r="AH51" s="71">
        <f t="shared" si="32"/>
        <v>0</v>
      </c>
      <c r="AI51" s="71">
        <f t="shared" si="32"/>
        <v>0</v>
      </c>
      <c r="AJ51" s="71">
        <f t="shared" si="32"/>
        <v>0</v>
      </c>
    </row>
    <row r="52" spans="1:36">
      <c r="A52" s="90">
        <f>Treatment_Guidelines!B92</f>
        <v>0</v>
      </c>
      <c r="B52" s="597">
        <f>Treatment_Guidelines!D92</f>
        <v>0</v>
      </c>
      <c r="C52" s="597">
        <f t="shared" si="49"/>
        <v>0</v>
      </c>
      <c r="D52" s="597">
        <f t="shared" si="50"/>
        <v>0</v>
      </c>
      <c r="E52" s="597">
        <f t="shared" si="51"/>
        <v>0</v>
      </c>
      <c r="F52" s="597">
        <f t="shared" si="52"/>
        <v>0</v>
      </c>
      <c r="G52" s="597">
        <f t="shared" si="53"/>
        <v>0</v>
      </c>
      <c r="I52" s="597">
        <f>Treatment_Guidelines!E91</f>
        <v>0</v>
      </c>
      <c r="J52" s="597">
        <f t="shared" si="1"/>
        <v>0</v>
      </c>
      <c r="K52" s="597">
        <f t="shared" si="2"/>
        <v>0</v>
      </c>
      <c r="L52" s="597">
        <f t="shared" si="3"/>
        <v>0</v>
      </c>
      <c r="M52" s="597">
        <f t="shared" si="4"/>
        <v>0</v>
      </c>
      <c r="N52" s="597">
        <f t="shared" si="5"/>
        <v>0</v>
      </c>
      <c r="O52" s="598"/>
      <c r="P52" s="90">
        <v>6</v>
      </c>
      <c r="Q52" s="71">
        <f>INDEX(Summary_Services!$B$6:$AF$105,$P52,26)</f>
        <v>0</v>
      </c>
      <c r="R52" s="71">
        <f>INDEX(Summary_Services!$B$6:$AF$105,$P52,27)</f>
        <v>0</v>
      </c>
      <c r="S52" s="71">
        <f>INDEX(Summary_Services!$B$6:$AF$105,$P52,28)</f>
        <v>0</v>
      </c>
      <c r="T52" s="71">
        <f>INDEX(Summary_Services!$B$6:$AF$105,$P52,29)</f>
        <v>0</v>
      </c>
      <c r="U52" s="71">
        <f>INDEX(Summary_Services!$B$6:$AF$105,$P52,30)</f>
        <v>0</v>
      </c>
      <c r="V52" s="71">
        <f>INDEX(Summary_Services!$B$6:$AF$105,$P52,31)</f>
        <v>0</v>
      </c>
      <c r="X52" s="90">
        <f t="shared" si="31"/>
        <v>0</v>
      </c>
      <c r="Y52" s="90">
        <f t="shared" si="31"/>
        <v>0</v>
      </c>
      <c r="Z52" s="90">
        <f t="shared" si="31"/>
        <v>0</v>
      </c>
      <c r="AA52" s="90">
        <f t="shared" si="31"/>
        <v>0</v>
      </c>
      <c r="AB52" s="90">
        <f t="shared" si="31"/>
        <v>0</v>
      </c>
      <c r="AC52" s="90">
        <f t="shared" si="31"/>
        <v>0</v>
      </c>
      <c r="AE52" s="71">
        <f t="shared" si="32"/>
        <v>0</v>
      </c>
      <c r="AF52" s="71">
        <f t="shared" si="32"/>
        <v>0</v>
      </c>
      <c r="AG52" s="71">
        <f t="shared" si="32"/>
        <v>0</v>
      </c>
      <c r="AH52" s="71">
        <f t="shared" si="32"/>
        <v>0</v>
      </c>
      <c r="AI52" s="71">
        <f t="shared" si="32"/>
        <v>0</v>
      </c>
      <c r="AJ52" s="71">
        <f t="shared" si="32"/>
        <v>0</v>
      </c>
    </row>
    <row r="53" spans="1:36" s="599" customFormat="1">
      <c r="A53" s="90">
        <f>Treatment_Guidelines!B93</f>
        <v>0</v>
      </c>
      <c r="B53" s="597">
        <f>Treatment_Guidelines!D93</f>
        <v>0</v>
      </c>
      <c r="C53" s="597">
        <f t="shared" si="49"/>
        <v>0</v>
      </c>
      <c r="D53" s="597">
        <f t="shared" si="50"/>
        <v>0</v>
      </c>
      <c r="E53" s="597">
        <f t="shared" si="51"/>
        <v>0</v>
      </c>
      <c r="F53" s="597">
        <f t="shared" si="52"/>
        <v>0</v>
      </c>
      <c r="G53" s="597">
        <f t="shared" si="53"/>
        <v>0</v>
      </c>
      <c r="I53" s="597">
        <f>Treatment_Guidelines!E92</f>
        <v>0</v>
      </c>
      <c r="J53" s="600">
        <f t="shared" si="1"/>
        <v>0</v>
      </c>
      <c r="K53" s="600">
        <f t="shared" si="2"/>
        <v>0</v>
      </c>
      <c r="L53" s="600">
        <f t="shared" si="3"/>
        <v>0</v>
      </c>
      <c r="M53" s="600">
        <f t="shared" si="4"/>
        <v>0</v>
      </c>
      <c r="N53" s="600">
        <f t="shared" si="5"/>
        <v>0</v>
      </c>
      <c r="O53" s="601"/>
      <c r="P53" s="599">
        <v>6</v>
      </c>
      <c r="Q53" s="602">
        <f>INDEX(Summary_Services!$B$6:$AF$105,$P53,26)</f>
        <v>0</v>
      </c>
      <c r="R53" s="602">
        <f>INDEX(Summary_Services!$B$6:$AF$105,$P53,27)</f>
        <v>0</v>
      </c>
      <c r="S53" s="602">
        <f>INDEX(Summary_Services!$B$6:$AF$105,$P53,28)</f>
        <v>0</v>
      </c>
      <c r="T53" s="602">
        <f>INDEX(Summary_Services!$B$6:$AF$105,$P53,29)</f>
        <v>0</v>
      </c>
      <c r="U53" s="602">
        <f>INDEX(Summary_Services!$B$6:$AF$105,$P53,30)</f>
        <v>0</v>
      </c>
      <c r="V53" s="602">
        <f>INDEX(Summary_Services!$B$6:$AF$105,$P53,31)</f>
        <v>0</v>
      </c>
      <c r="X53" s="599">
        <f t="shared" si="31"/>
        <v>0</v>
      </c>
      <c r="Y53" s="599">
        <f t="shared" si="31"/>
        <v>0</v>
      </c>
      <c r="Z53" s="599">
        <f t="shared" si="31"/>
        <v>0</v>
      </c>
      <c r="AA53" s="599">
        <f t="shared" si="31"/>
        <v>0</v>
      </c>
      <c r="AB53" s="599">
        <f t="shared" si="31"/>
        <v>0</v>
      </c>
      <c r="AC53" s="599">
        <f t="shared" si="31"/>
        <v>0</v>
      </c>
      <c r="AE53" s="602">
        <f t="shared" si="32"/>
        <v>0</v>
      </c>
      <c r="AF53" s="602">
        <f t="shared" si="32"/>
        <v>0</v>
      </c>
      <c r="AG53" s="602">
        <f t="shared" si="32"/>
        <v>0</v>
      </c>
      <c r="AH53" s="602">
        <f t="shared" si="32"/>
        <v>0</v>
      </c>
      <c r="AI53" s="602">
        <f t="shared" si="32"/>
        <v>0</v>
      </c>
      <c r="AJ53" s="602">
        <f t="shared" si="32"/>
        <v>0</v>
      </c>
    </row>
    <row r="54" spans="1:36" s="605" customFormat="1">
      <c r="A54" s="605">
        <f>Treatment_Guidelines!B102</f>
        <v>0</v>
      </c>
      <c r="B54" s="604">
        <f>Treatment_Guidelines!D102</f>
        <v>0</v>
      </c>
      <c r="C54" s="604">
        <f t="shared" ref="C54:G63" si="54">B54</f>
        <v>0</v>
      </c>
      <c r="D54" s="604">
        <f t="shared" si="54"/>
        <v>0</v>
      </c>
      <c r="E54" s="604">
        <f t="shared" si="54"/>
        <v>0</v>
      </c>
      <c r="F54" s="604">
        <f t="shared" si="54"/>
        <v>0</v>
      </c>
      <c r="G54" s="604">
        <f t="shared" si="54"/>
        <v>0</v>
      </c>
      <c r="I54" s="604">
        <f>Treatment_Guidelines!E102</f>
        <v>0</v>
      </c>
      <c r="J54" s="604">
        <f t="shared" si="1"/>
        <v>0</v>
      </c>
      <c r="K54" s="604">
        <f t="shared" si="2"/>
        <v>0</v>
      </c>
      <c r="L54" s="604">
        <f t="shared" si="3"/>
        <v>0</v>
      </c>
      <c r="M54" s="604">
        <f t="shared" si="4"/>
        <v>0</v>
      </c>
      <c r="N54" s="604">
        <f t="shared" si="5"/>
        <v>0</v>
      </c>
      <c r="O54" s="606"/>
      <c r="P54" s="605">
        <v>7</v>
      </c>
      <c r="Q54" s="607">
        <f>INDEX(Summary_Services!$B$6:$AF$105,$P54,26)</f>
        <v>0</v>
      </c>
      <c r="R54" s="607">
        <f>INDEX(Summary_Services!$B$6:$AF$105,$P54,27)</f>
        <v>0</v>
      </c>
      <c r="S54" s="607">
        <f>INDEX(Summary_Services!$B$6:$AF$105,$P54,28)</f>
        <v>0</v>
      </c>
      <c r="T54" s="607">
        <f>INDEX(Summary_Services!$B$6:$AF$105,$P54,29)</f>
        <v>0</v>
      </c>
      <c r="U54" s="607">
        <f>INDEX(Summary_Services!$B$6:$AF$105,$P54,30)</f>
        <v>0</v>
      </c>
      <c r="V54" s="607">
        <f>INDEX(Summary_Services!$B$6:$AF$105,$P54,31)</f>
        <v>0</v>
      </c>
      <c r="X54" s="605">
        <f t="shared" si="31"/>
        <v>0</v>
      </c>
      <c r="Y54" s="605">
        <f t="shared" si="31"/>
        <v>0</v>
      </c>
      <c r="Z54" s="605">
        <f t="shared" si="31"/>
        <v>0</v>
      </c>
      <c r="AA54" s="605">
        <f t="shared" si="31"/>
        <v>0</v>
      </c>
      <c r="AB54" s="605">
        <f t="shared" si="31"/>
        <v>0</v>
      </c>
      <c r="AC54" s="605">
        <f t="shared" si="31"/>
        <v>0</v>
      </c>
      <c r="AE54" s="607">
        <f t="shared" si="32"/>
        <v>0</v>
      </c>
      <c r="AF54" s="607">
        <f t="shared" si="32"/>
        <v>0</v>
      </c>
      <c r="AG54" s="607">
        <f t="shared" si="32"/>
        <v>0</v>
      </c>
      <c r="AH54" s="607">
        <f t="shared" si="32"/>
        <v>0</v>
      </c>
      <c r="AI54" s="607">
        <f t="shared" si="32"/>
        <v>0</v>
      </c>
      <c r="AJ54" s="607">
        <f t="shared" si="32"/>
        <v>0</v>
      </c>
    </row>
    <row r="55" spans="1:36">
      <c r="A55" s="90">
        <f>Treatment_Guidelines!B103</f>
        <v>0</v>
      </c>
      <c r="B55" s="597">
        <f>Treatment_Guidelines!D103</f>
        <v>0</v>
      </c>
      <c r="C55" s="597">
        <f t="shared" si="54"/>
        <v>0</v>
      </c>
      <c r="D55" s="597">
        <f t="shared" si="54"/>
        <v>0</v>
      </c>
      <c r="E55" s="597">
        <f t="shared" si="54"/>
        <v>0</v>
      </c>
      <c r="F55" s="597">
        <f t="shared" si="54"/>
        <v>0</v>
      </c>
      <c r="G55" s="597">
        <f t="shared" si="54"/>
        <v>0</v>
      </c>
      <c r="I55" s="597">
        <f>Treatment_Guidelines!E103</f>
        <v>0</v>
      </c>
      <c r="J55" s="597">
        <f t="shared" si="1"/>
        <v>0</v>
      </c>
      <c r="K55" s="597">
        <f t="shared" si="2"/>
        <v>0</v>
      </c>
      <c r="L55" s="597">
        <f t="shared" si="3"/>
        <v>0</v>
      </c>
      <c r="M55" s="597">
        <f t="shared" si="4"/>
        <v>0</v>
      </c>
      <c r="N55" s="597">
        <f t="shared" si="5"/>
        <v>0</v>
      </c>
      <c r="O55" s="598"/>
      <c r="P55" s="90">
        <v>7</v>
      </c>
      <c r="Q55" s="71">
        <f>INDEX(Summary_Services!$B$6:$AF$105,$P55,26)</f>
        <v>0</v>
      </c>
      <c r="R55" s="71">
        <f>INDEX(Summary_Services!$B$6:$AF$105,$P55,27)</f>
        <v>0</v>
      </c>
      <c r="S55" s="71">
        <f>INDEX(Summary_Services!$B$6:$AF$105,$P55,28)</f>
        <v>0</v>
      </c>
      <c r="T55" s="71">
        <f>INDEX(Summary_Services!$B$6:$AF$105,$P55,29)</f>
        <v>0</v>
      </c>
      <c r="U55" s="71">
        <f>INDEX(Summary_Services!$B$6:$AF$105,$P55,30)</f>
        <v>0</v>
      </c>
      <c r="V55" s="71">
        <f>INDEX(Summary_Services!$B$6:$AF$105,$P55,31)</f>
        <v>0</v>
      </c>
      <c r="X55" s="90">
        <f t="shared" si="31"/>
        <v>0</v>
      </c>
      <c r="Y55" s="90">
        <f t="shared" si="31"/>
        <v>0</v>
      </c>
      <c r="Z55" s="90">
        <f t="shared" si="31"/>
        <v>0</v>
      </c>
      <c r="AA55" s="90">
        <f t="shared" si="31"/>
        <v>0</v>
      </c>
      <c r="AB55" s="90">
        <f t="shared" si="31"/>
        <v>0</v>
      </c>
      <c r="AC55" s="90">
        <f t="shared" si="31"/>
        <v>0</v>
      </c>
      <c r="AE55" s="71">
        <f t="shared" si="32"/>
        <v>0</v>
      </c>
      <c r="AF55" s="71">
        <f t="shared" si="32"/>
        <v>0</v>
      </c>
      <c r="AG55" s="71">
        <f t="shared" si="32"/>
        <v>0</v>
      </c>
      <c r="AH55" s="71">
        <f t="shared" si="32"/>
        <v>0</v>
      </c>
      <c r="AI55" s="71">
        <f t="shared" si="32"/>
        <v>0</v>
      </c>
      <c r="AJ55" s="71">
        <f t="shared" si="32"/>
        <v>0</v>
      </c>
    </row>
    <row r="56" spans="1:36">
      <c r="A56" s="90">
        <f>Treatment_Guidelines!B104</f>
        <v>0</v>
      </c>
      <c r="B56" s="597">
        <f>Treatment_Guidelines!D104</f>
        <v>0</v>
      </c>
      <c r="C56" s="597">
        <f t="shared" ref="C56:C61" si="55">B56</f>
        <v>0</v>
      </c>
      <c r="D56" s="597">
        <f t="shared" ref="D56:D61" si="56">C56</f>
        <v>0</v>
      </c>
      <c r="E56" s="597">
        <f t="shared" ref="E56:E61" si="57">D56</f>
        <v>0</v>
      </c>
      <c r="F56" s="597">
        <f t="shared" ref="F56:F61" si="58">E56</f>
        <v>0</v>
      </c>
      <c r="G56" s="597">
        <f t="shared" ref="G56:G61" si="59">F56</f>
        <v>0</v>
      </c>
      <c r="I56" s="597">
        <f>Treatment_Guidelines!E104</f>
        <v>0</v>
      </c>
      <c r="J56" s="597">
        <f t="shared" si="1"/>
        <v>0</v>
      </c>
      <c r="K56" s="597">
        <f t="shared" si="2"/>
        <v>0</v>
      </c>
      <c r="L56" s="597">
        <f t="shared" si="3"/>
        <v>0</v>
      </c>
      <c r="M56" s="597">
        <f t="shared" si="4"/>
        <v>0</v>
      </c>
      <c r="N56" s="597">
        <f t="shared" si="5"/>
        <v>0</v>
      </c>
      <c r="O56" s="598"/>
      <c r="P56" s="90">
        <v>7</v>
      </c>
      <c r="Q56" s="71">
        <f>INDEX(Summary_Services!$B$6:$AF$105,$P56,26)</f>
        <v>0</v>
      </c>
      <c r="R56" s="71">
        <f>INDEX(Summary_Services!$B$6:$AF$105,$P56,27)</f>
        <v>0</v>
      </c>
      <c r="S56" s="71">
        <f>INDEX(Summary_Services!$B$6:$AF$105,$P56,28)</f>
        <v>0</v>
      </c>
      <c r="T56" s="71">
        <f>INDEX(Summary_Services!$B$6:$AF$105,$P56,29)</f>
        <v>0</v>
      </c>
      <c r="U56" s="71">
        <f>INDEX(Summary_Services!$B$6:$AF$105,$P56,30)</f>
        <v>0</v>
      </c>
      <c r="V56" s="71">
        <f>INDEX(Summary_Services!$B$6:$AF$105,$P56,31)</f>
        <v>0</v>
      </c>
      <c r="X56" s="90">
        <f t="shared" si="31"/>
        <v>0</v>
      </c>
      <c r="Y56" s="90">
        <f t="shared" si="31"/>
        <v>0</v>
      </c>
      <c r="Z56" s="90">
        <f t="shared" si="31"/>
        <v>0</v>
      </c>
      <c r="AA56" s="90">
        <f t="shared" si="31"/>
        <v>0</v>
      </c>
      <c r="AB56" s="90">
        <f t="shared" si="31"/>
        <v>0</v>
      </c>
      <c r="AC56" s="90">
        <f t="shared" si="31"/>
        <v>0</v>
      </c>
      <c r="AE56" s="71">
        <f t="shared" si="32"/>
        <v>0</v>
      </c>
      <c r="AF56" s="71">
        <f t="shared" si="32"/>
        <v>0</v>
      </c>
      <c r="AG56" s="71">
        <f t="shared" si="32"/>
        <v>0</v>
      </c>
      <c r="AH56" s="71">
        <f t="shared" si="32"/>
        <v>0</v>
      </c>
      <c r="AI56" s="71">
        <f t="shared" si="32"/>
        <v>0</v>
      </c>
      <c r="AJ56" s="71">
        <f t="shared" si="32"/>
        <v>0</v>
      </c>
    </row>
    <row r="57" spans="1:36">
      <c r="A57" s="90">
        <f>Treatment_Guidelines!B105</f>
        <v>0</v>
      </c>
      <c r="B57" s="597">
        <f>Treatment_Guidelines!D105</f>
        <v>0</v>
      </c>
      <c r="C57" s="597">
        <f t="shared" si="55"/>
        <v>0</v>
      </c>
      <c r="D57" s="597">
        <f t="shared" si="56"/>
        <v>0</v>
      </c>
      <c r="E57" s="597">
        <f t="shared" si="57"/>
        <v>0</v>
      </c>
      <c r="F57" s="597">
        <f t="shared" si="58"/>
        <v>0</v>
      </c>
      <c r="G57" s="597">
        <f t="shared" si="59"/>
        <v>0</v>
      </c>
      <c r="I57" s="597">
        <f>Treatment_Guidelines!E105</f>
        <v>0</v>
      </c>
      <c r="J57" s="597">
        <f t="shared" si="1"/>
        <v>0</v>
      </c>
      <c r="K57" s="597">
        <f t="shared" si="2"/>
        <v>0</v>
      </c>
      <c r="L57" s="597">
        <f t="shared" si="3"/>
        <v>0</v>
      </c>
      <c r="M57" s="597">
        <f t="shared" si="4"/>
        <v>0</v>
      </c>
      <c r="N57" s="597">
        <f t="shared" si="5"/>
        <v>0</v>
      </c>
      <c r="O57" s="598"/>
      <c r="P57" s="90">
        <v>7</v>
      </c>
      <c r="Q57" s="71">
        <f>INDEX(Summary_Services!$B$6:$AF$105,$P57,26)</f>
        <v>0</v>
      </c>
      <c r="R57" s="71">
        <f>INDEX(Summary_Services!$B$6:$AF$105,$P57,27)</f>
        <v>0</v>
      </c>
      <c r="S57" s="71">
        <f>INDEX(Summary_Services!$B$6:$AF$105,$P57,28)</f>
        <v>0</v>
      </c>
      <c r="T57" s="71">
        <f>INDEX(Summary_Services!$B$6:$AF$105,$P57,29)</f>
        <v>0</v>
      </c>
      <c r="U57" s="71">
        <f>INDEX(Summary_Services!$B$6:$AF$105,$P57,30)</f>
        <v>0</v>
      </c>
      <c r="V57" s="71">
        <f>INDEX(Summary_Services!$B$6:$AF$105,$P57,31)</f>
        <v>0</v>
      </c>
      <c r="X57" s="90">
        <f t="shared" si="31"/>
        <v>0</v>
      </c>
      <c r="Y57" s="90">
        <f t="shared" si="31"/>
        <v>0</v>
      </c>
      <c r="Z57" s="90">
        <f t="shared" si="31"/>
        <v>0</v>
      </c>
      <c r="AA57" s="90">
        <f t="shared" si="31"/>
        <v>0</v>
      </c>
      <c r="AB57" s="90">
        <f t="shared" si="31"/>
        <v>0</v>
      </c>
      <c r="AC57" s="90">
        <f t="shared" si="31"/>
        <v>0</v>
      </c>
      <c r="AE57" s="71">
        <f t="shared" si="32"/>
        <v>0</v>
      </c>
      <c r="AF57" s="71">
        <f t="shared" si="32"/>
        <v>0</v>
      </c>
      <c r="AG57" s="71">
        <f t="shared" si="32"/>
        <v>0</v>
      </c>
      <c r="AH57" s="71">
        <f t="shared" si="32"/>
        <v>0</v>
      </c>
      <c r="AI57" s="71">
        <f t="shared" si="32"/>
        <v>0</v>
      </c>
      <c r="AJ57" s="71">
        <f t="shared" si="32"/>
        <v>0</v>
      </c>
    </row>
    <row r="58" spans="1:36">
      <c r="A58" s="90">
        <f>Treatment_Guidelines!B106</f>
        <v>0</v>
      </c>
      <c r="B58" s="597">
        <f>Treatment_Guidelines!D106</f>
        <v>0</v>
      </c>
      <c r="C58" s="597">
        <f t="shared" si="55"/>
        <v>0</v>
      </c>
      <c r="D58" s="597">
        <f t="shared" si="56"/>
        <v>0</v>
      </c>
      <c r="E58" s="597">
        <f t="shared" si="57"/>
        <v>0</v>
      </c>
      <c r="F58" s="597">
        <f t="shared" si="58"/>
        <v>0</v>
      </c>
      <c r="G58" s="597">
        <f t="shared" si="59"/>
        <v>0</v>
      </c>
      <c r="I58" s="597">
        <f>Treatment_Guidelines!E106</f>
        <v>0</v>
      </c>
      <c r="J58" s="597">
        <f t="shared" si="1"/>
        <v>0</v>
      </c>
      <c r="K58" s="597">
        <f t="shared" si="2"/>
        <v>0</v>
      </c>
      <c r="L58" s="597">
        <f t="shared" si="3"/>
        <v>0</v>
      </c>
      <c r="M58" s="597">
        <f t="shared" si="4"/>
        <v>0</v>
      </c>
      <c r="N58" s="597">
        <f t="shared" si="5"/>
        <v>0</v>
      </c>
      <c r="O58" s="598"/>
      <c r="P58" s="90">
        <v>7</v>
      </c>
      <c r="Q58" s="71">
        <f>INDEX(Summary_Services!$B$6:$AF$105,$P58,26)</f>
        <v>0</v>
      </c>
      <c r="R58" s="71">
        <f>INDEX(Summary_Services!$B$6:$AF$105,$P58,27)</f>
        <v>0</v>
      </c>
      <c r="S58" s="71">
        <f>INDEX(Summary_Services!$B$6:$AF$105,$P58,28)</f>
        <v>0</v>
      </c>
      <c r="T58" s="71">
        <f>INDEX(Summary_Services!$B$6:$AF$105,$P58,29)</f>
        <v>0</v>
      </c>
      <c r="U58" s="71">
        <f>INDEX(Summary_Services!$B$6:$AF$105,$P58,30)</f>
        <v>0</v>
      </c>
      <c r="V58" s="71">
        <f>INDEX(Summary_Services!$B$6:$AF$105,$P58,31)</f>
        <v>0</v>
      </c>
      <c r="X58" s="90">
        <f t="shared" si="31"/>
        <v>0</v>
      </c>
      <c r="Y58" s="90">
        <f t="shared" si="31"/>
        <v>0</v>
      </c>
      <c r="Z58" s="90">
        <f t="shared" si="31"/>
        <v>0</v>
      </c>
      <c r="AA58" s="90">
        <f t="shared" si="31"/>
        <v>0</v>
      </c>
      <c r="AB58" s="90">
        <f t="shared" si="31"/>
        <v>0</v>
      </c>
      <c r="AC58" s="90">
        <f t="shared" si="31"/>
        <v>0</v>
      </c>
      <c r="AE58" s="71">
        <f t="shared" si="32"/>
        <v>0</v>
      </c>
      <c r="AF58" s="71">
        <f t="shared" si="32"/>
        <v>0</v>
      </c>
      <c r="AG58" s="71">
        <f t="shared" si="32"/>
        <v>0</v>
      </c>
      <c r="AH58" s="71">
        <f t="shared" si="32"/>
        <v>0</v>
      </c>
      <c r="AI58" s="71">
        <f t="shared" si="32"/>
        <v>0</v>
      </c>
      <c r="AJ58" s="71">
        <f t="shared" si="32"/>
        <v>0</v>
      </c>
    </row>
    <row r="59" spans="1:36">
      <c r="A59" s="90">
        <f>Treatment_Guidelines!B107</f>
        <v>0</v>
      </c>
      <c r="B59" s="597">
        <f>Treatment_Guidelines!D107</f>
        <v>0</v>
      </c>
      <c r="C59" s="597">
        <f t="shared" si="55"/>
        <v>0</v>
      </c>
      <c r="D59" s="597">
        <f t="shared" si="56"/>
        <v>0</v>
      </c>
      <c r="E59" s="597">
        <f t="shared" si="57"/>
        <v>0</v>
      </c>
      <c r="F59" s="597">
        <f t="shared" si="58"/>
        <v>0</v>
      </c>
      <c r="G59" s="597">
        <f t="shared" si="59"/>
        <v>0</v>
      </c>
      <c r="I59" s="597">
        <f>Treatment_Guidelines!E107</f>
        <v>0</v>
      </c>
      <c r="J59" s="597">
        <f t="shared" si="1"/>
        <v>0</v>
      </c>
      <c r="K59" s="597">
        <f t="shared" si="2"/>
        <v>0</v>
      </c>
      <c r="L59" s="597">
        <f t="shared" si="3"/>
        <v>0</v>
      </c>
      <c r="M59" s="597">
        <f t="shared" si="4"/>
        <v>0</v>
      </c>
      <c r="N59" s="597">
        <f t="shared" si="5"/>
        <v>0</v>
      </c>
      <c r="O59" s="598"/>
      <c r="P59" s="90">
        <v>7</v>
      </c>
      <c r="Q59" s="71">
        <f>INDEX(Summary_Services!$B$6:$AF$105,$P59,26)</f>
        <v>0</v>
      </c>
      <c r="R59" s="71">
        <f>INDEX(Summary_Services!$B$6:$AF$105,$P59,27)</f>
        <v>0</v>
      </c>
      <c r="S59" s="71">
        <f>INDEX(Summary_Services!$B$6:$AF$105,$P59,28)</f>
        <v>0</v>
      </c>
      <c r="T59" s="71">
        <f>INDEX(Summary_Services!$B$6:$AF$105,$P59,29)</f>
        <v>0</v>
      </c>
      <c r="U59" s="71">
        <f>INDEX(Summary_Services!$B$6:$AF$105,$P59,30)</f>
        <v>0</v>
      </c>
      <c r="V59" s="71">
        <f>INDEX(Summary_Services!$B$6:$AF$105,$P59,31)</f>
        <v>0</v>
      </c>
      <c r="X59" s="90">
        <f t="shared" si="31"/>
        <v>0</v>
      </c>
      <c r="Y59" s="90">
        <f t="shared" si="31"/>
        <v>0</v>
      </c>
      <c r="Z59" s="90">
        <f t="shared" si="31"/>
        <v>0</v>
      </c>
      <c r="AA59" s="90">
        <f t="shared" si="31"/>
        <v>0</v>
      </c>
      <c r="AB59" s="90">
        <f t="shared" si="31"/>
        <v>0</v>
      </c>
      <c r="AC59" s="90">
        <f t="shared" si="31"/>
        <v>0</v>
      </c>
      <c r="AE59" s="71">
        <f t="shared" si="32"/>
        <v>0</v>
      </c>
      <c r="AF59" s="71">
        <f t="shared" si="32"/>
        <v>0</v>
      </c>
      <c r="AG59" s="71">
        <f t="shared" si="32"/>
        <v>0</v>
      </c>
      <c r="AH59" s="71">
        <f t="shared" si="32"/>
        <v>0</v>
      </c>
      <c r="AI59" s="71">
        <f t="shared" si="32"/>
        <v>0</v>
      </c>
      <c r="AJ59" s="71">
        <f t="shared" si="32"/>
        <v>0</v>
      </c>
    </row>
    <row r="60" spans="1:36">
      <c r="A60" s="90">
        <f>Treatment_Guidelines!B108</f>
        <v>0</v>
      </c>
      <c r="B60" s="597">
        <f>Treatment_Guidelines!D108</f>
        <v>0</v>
      </c>
      <c r="C60" s="597">
        <f t="shared" si="55"/>
        <v>0</v>
      </c>
      <c r="D60" s="597">
        <f t="shared" si="56"/>
        <v>0</v>
      </c>
      <c r="E60" s="597">
        <f t="shared" si="57"/>
        <v>0</v>
      </c>
      <c r="F60" s="597">
        <f t="shared" si="58"/>
        <v>0</v>
      </c>
      <c r="G60" s="597">
        <f t="shared" si="59"/>
        <v>0</v>
      </c>
      <c r="I60" s="597">
        <f>Treatment_Guidelines!E108</f>
        <v>0</v>
      </c>
      <c r="J60" s="597">
        <f t="shared" si="1"/>
        <v>0</v>
      </c>
      <c r="K60" s="597">
        <f t="shared" si="2"/>
        <v>0</v>
      </c>
      <c r="L60" s="597">
        <f t="shared" si="3"/>
        <v>0</v>
      </c>
      <c r="M60" s="597">
        <f t="shared" si="4"/>
        <v>0</v>
      </c>
      <c r="N60" s="597">
        <f t="shared" si="5"/>
        <v>0</v>
      </c>
      <c r="O60" s="598"/>
      <c r="P60" s="90">
        <v>7</v>
      </c>
      <c r="Q60" s="71">
        <f>INDEX(Summary_Services!$B$6:$AF$105,$P60,26)</f>
        <v>0</v>
      </c>
      <c r="R60" s="71">
        <f>INDEX(Summary_Services!$B$6:$AF$105,$P60,27)</f>
        <v>0</v>
      </c>
      <c r="S60" s="71">
        <f>INDEX(Summary_Services!$B$6:$AF$105,$P60,28)</f>
        <v>0</v>
      </c>
      <c r="T60" s="71">
        <f>INDEX(Summary_Services!$B$6:$AF$105,$P60,29)</f>
        <v>0</v>
      </c>
      <c r="U60" s="71">
        <f>INDEX(Summary_Services!$B$6:$AF$105,$P60,30)</f>
        <v>0</v>
      </c>
      <c r="V60" s="71">
        <f>INDEX(Summary_Services!$B$6:$AF$105,$P60,31)</f>
        <v>0</v>
      </c>
      <c r="X60" s="90">
        <f t="shared" si="31"/>
        <v>0</v>
      </c>
      <c r="Y60" s="90">
        <f t="shared" si="31"/>
        <v>0</v>
      </c>
      <c r="Z60" s="90">
        <f t="shared" si="31"/>
        <v>0</v>
      </c>
      <c r="AA60" s="90">
        <f t="shared" si="31"/>
        <v>0</v>
      </c>
      <c r="AB60" s="90">
        <f t="shared" si="31"/>
        <v>0</v>
      </c>
      <c r="AC60" s="90">
        <f t="shared" si="31"/>
        <v>0</v>
      </c>
      <c r="AE60" s="71">
        <f t="shared" si="32"/>
        <v>0</v>
      </c>
      <c r="AF60" s="71">
        <f t="shared" si="32"/>
        <v>0</v>
      </c>
      <c r="AG60" s="71">
        <f t="shared" si="32"/>
        <v>0</v>
      </c>
      <c r="AH60" s="71">
        <f t="shared" si="32"/>
        <v>0</v>
      </c>
      <c r="AI60" s="71">
        <f t="shared" si="32"/>
        <v>0</v>
      </c>
      <c r="AJ60" s="71">
        <f t="shared" si="32"/>
        <v>0</v>
      </c>
    </row>
    <row r="61" spans="1:36" s="599" customFormat="1">
      <c r="A61" s="90">
        <f>Treatment_Guidelines!B109</f>
        <v>0</v>
      </c>
      <c r="B61" s="597">
        <f>Treatment_Guidelines!D109</f>
        <v>0</v>
      </c>
      <c r="C61" s="597">
        <f t="shared" si="55"/>
        <v>0</v>
      </c>
      <c r="D61" s="597">
        <f t="shared" si="56"/>
        <v>0</v>
      </c>
      <c r="E61" s="597">
        <f t="shared" si="57"/>
        <v>0</v>
      </c>
      <c r="F61" s="597">
        <f t="shared" si="58"/>
        <v>0</v>
      </c>
      <c r="G61" s="597">
        <f t="shared" si="59"/>
        <v>0</v>
      </c>
      <c r="I61" s="597">
        <f>Treatment_Guidelines!E109</f>
        <v>0</v>
      </c>
      <c r="J61" s="600">
        <f t="shared" si="1"/>
        <v>0</v>
      </c>
      <c r="K61" s="600">
        <f t="shared" si="2"/>
        <v>0</v>
      </c>
      <c r="L61" s="600">
        <f t="shared" si="3"/>
        <v>0</v>
      </c>
      <c r="M61" s="600">
        <f t="shared" si="4"/>
        <v>0</v>
      </c>
      <c r="N61" s="600">
        <f t="shared" si="5"/>
        <v>0</v>
      </c>
      <c r="O61" s="601"/>
      <c r="P61" s="599">
        <v>7</v>
      </c>
      <c r="Q61" s="602">
        <f>INDEX(Summary_Services!$B$6:$AF$105,$P61,26)</f>
        <v>0</v>
      </c>
      <c r="R61" s="602">
        <f>INDEX(Summary_Services!$B$6:$AF$105,$P61,27)</f>
        <v>0</v>
      </c>
      <c r="S61" s="602">
        <f>INDEX(Summary_Services!$B$6:$AF$105,$P61,28)</f>
        <v>0</v>
      </c>
      <c r="T61" s="602">
        <f>INDEX(Summary_Services!$B$6:$AF$105,$P61,29)</f>
        <v>0</v>
      </c>
      <c r="U61" s="602">
        <f>INDEX(Summary_Services!$B$6:$AF$105,$P61,30)</f>
        <v>0</v>
      </c>
      <c r="V61" s="602">
        <f>INDEX(Summary_Services!$B$6:$AF$105,$P61,31)</f>
        <v>0</v>
      </c>
      <c r="X61" s="599">
        <f t="shared" si="31"/>
        <v>0</v>
      </c>
      <c r="Y61" s="599">
        <f t="shared" si="31"/>
        <v>0</v>
      </c>
      <c r="Z61" s="599">
        <f t="shared" si="31"/>
        <v>0</v>
      </c>
      <c r="AA61" s="599">
        <f t="shared" si="31"/>
        <v>0</v>
      </c>
      <c r="AB61" s="599">
        <f t="shared" si="31"/>
        <v>0</v>
      </c>
      <c r="AC61" s="599">
        <f t="shared" si="31"/>
        <v>0</v>
      </c>
      <c r="AE61" s="602">
        <f t="shared" si="32"/>
        <v>0</v>
      </c>
      <c r="AF61" s="602">
        <f t="shared" si="32"/>
        <v>0</v>
      </c>
      <c r="AG61" s="602">
        <f t="shared" si="32"/>
        <v>0</v>
      </c>
      <c r="AH61" s="602">
        <f t="shared" si="32"/>
        <v>0</v>
      </c>
      <c r="AI61" s="602">
        <f t="shared" si="32"/>
        <v>0</v>
      </c>
      <c r="AJ61" s="602">
        <f t="shared" si="32"/>
        <v>0</v>
      </c>
    </row>
    <row r="62" spans="1:36" s="605" customFormat="1">
      <c r="A62" s="605">
        <f>Treatment_Guidelines!B119</f>
        <v>0</v>
      </c>
      <c r="B62" s="604">
        <f>Treatment_Guidelines!D119</f>
        <v>0</v>
      </c>
      <c r="C62" s="604">
        <f t="shared" si="54"/>
        <v>0</v>
      </c>
      <c r="D62" s="604">
        <f t="shared" si="54"/>
        <v>0</v>
      </c>
      <c r="E62" s="604">
        <f t="shared" si="54"/>
        <v>0</v>
      </c>
      <c r="F62" s="604">
        <f t="shared" si="54"/>
        <v>0</v>
      </c>
      <c r="G62" s="604">
        <f t="shared" si="54"/>
        <v>0</v>
      </c>
      <c r="I62" s="604">
        <f>Treatment_Guidelines!E119</f>
        <v>0</v>
      </c>
      <c r="J62" s="604">
        <f t="shared" si="1"/>
        <v>0</v>
      </c>
      <c r="K62" s="604">
        <f t="shared" si="2"/>
        <v>0</v>
      </c>
      <c r="L62" s="604">
        <f t="shared" si="3"/>
        <v>0</v>
      </c>
      <c r="M62" s="604">
        <f t="shared" si="4"/>
        <v>0</v>
      </c>
      <c r="N62" s="604">
        <f t="shared" si="5"/>
        <v>0</v>
      </c>
      <c r="O62" s="606"/>
      <c r="P62" s="605">
        <v>8</v>
      </c>
      <c r="Q62" s="607">
        <f>INDEX(Summary_Services!$B$6:$AF$105,$P62,26)</f>
        <v>0</v>
      </c>
      <c r="R62" s="607">
        <f>INDEX(Summary_Services!$B$6:$AF$105,$P62,27)</f>
        <v>0</v>
      </c>
      <c r="S62" s="607">
        <f>INDEX(Summary_Services!$B$6:$AF$105,$P62,28)</f>
        <v>0</v>
      </c>
      <c r="T62" s="607">
        <f>INDEX(Summary_Services!$B$6:$AF$105,$P62,29)</f>
        <v>0</v>
      </c>
      <c r="U62" s="607">
        <f>INDEX(Summary_Services!$B$6:$AF$105,$P62,30)</f>
        <v>0</v>
      </c>
      <c r="V62" s="607">
        <f>INDEX(Summary_Services!$B$6:$AF$105,$P62,31)</f>
        <v>0</v>
      </c>
      <c r="X62" s="605">
        <f t="shared" si="31"/>
        <v>0</v>
      </c>
      <c r="Y62" s="605">
        <f t="shared" si="31"/>
        <v>0</v>
      </c>
      <c r="Z62" s="605">
        <f t="shared" si="31"/>
        <v>0</v>
      </c>
      <c r="AA62" s="605">
        <f t="shared" si="31"/>
        <v>0</v>
      </c>
      <c r="AB62" s="605">
        <f t="shared" si="31"/>
        <v>0</v>
      </c>
      <c r="AC62" s="605">
        <f t="shared" si="31"/>
        <v>0</v>
      </c>
      <c r="AE62" s="607">
        <f t="shared" si="32"/>
        <v>0</v>
      </c>
      <c r="AF62" s="607">
        <f t="shared" si="32"/>
        <v>0</v>
      </c>
      <c r="AG62" s="607">
        <f t="shared" si="32"/>
        <v>0</v>
      </c>
      <c r="AH62" s="607">
        <f t="shared" si="32"/>
        <v>0</v>
      </c>
      <c r="AI62" s="607">
        <f t="shared" si="32"/>
        <v>0</v>
      </c>
      <c r="AJ62" s="607">
        <f t="shared" si="32"/>
        <v>0</v>
      </c>
    </row>
    <row r="63" spans="1:36">
      <c r="A63" s="90">
        <f>Treatment_Guidelines!B120</f>
        <v>0</v>
      </c>
      <c r="B63" s="597">
        <f>Treatment_Guidelines!D120</f>
        <v>0</v>
      </c>
      <c r="C63" s="597">
        <f t="shared" si="54"/>
        <v>0</v>
      </c>
      <c r="D63" s="597">
        <f t="shared" si="54"/>
        <v>0</v>
      </c>
      <c r="E63" s="597">
        <f t="shared" si="54"/>
        <v>0</v>
      </c>
      <c r="F63" s="597">
        <f t="shared" si="54"/>
        <v>0</v>
      </c>
      <c r="G63" s="597">
        <f t="shared" si="54"/>
        <v>0</v>
      </c>
      <c r="I63" s="597">
        <f>Treatment_Guidelines!E120</f>
        <v>0</v>
      </c>
      <c r="J63" s="597">
        <f t="shared" si="1"/>
        <v>0</v>
      </c>
      <c r="K63" s="597">
        <f t="shared" si="2"/>
        <v>0</v>
      </c>
      <c r="L63" s="597">
        <f t="shared" si="3"/>
        <v>0</v>
      </c>
      <c r="M63" s="597">
        <f t="shared" si="4"/>
        <v>0</v>
      </c>
      <c r="N63" s="597">
        <f t="shared" si="5"/>
        <v>0</v>
      </c>
      <c r="O63" s="598"/>
      <c r="P63" s="90">
        <v>8</v>
      </c>
      <c r="Q63" s="71">
        <f>INDEX(Summary_Services!$B$6:$AF$105,$P63,26)</f>
        <v>0</v>
      </c>
      <c r="R63" s="71">
        <f>INDEX(Summary_Services!$B$6:$AF$105,$P63,27)</f>
        <v>0</v>
      </c>
      <c r="S63" s="71">
        <f>INDEX(Summary_Services!$B$6:$AF$105,$P63,28)</f>
        <v>0</v>
      </c>
      <c r="T63" s="71">
        <f>INDEX(Summary_Services!$B$6:$AF$105,$P63,29)</f>
        <v>0</v>
      </c>
      <c r="U63" s="71">
        <f>INDEX(Summary_Services!$B$6:$AF$105,$P63,30)</f>
        <v>0</v>
      </c>
      <c r="V63" s="71">
        <f>INDEX(Summary_Services!$B$6:$AF$105,$P63,31)</f>
        <v>0</v>
      </c>
      <c r="X63" s="90">
        <f t="shared" si="31"/>
        <v>0</v>
      </c>
      <c r="Y63" s="90">
        <f t="shared" si="31"/>
        <v>0</v>
      </c>
      <c r="Z63" s="90">
        <f t="shared" si="31"/>
        <v>0</v>
      </c>
      <c r="AA63" s="90">
        <f t="shared" si="31"/>
        <v>0</v>
      </c>
      <c r="AB63" s="90">
        <f t="shared" si="31"/>
        <v>0</v>
      </c>
      <c r="AC63" s="90">
        <f t="shared" si="31"/>
        <v>0</v>
      </c>
      <c r="AE63" s="71">
        <f t="shared" si="32"/>
        <v>0</v>
      </c>
      <c r="AF63" s="71">
        <f t="shared" si="32"/>
        <v>0</v>
      </c>
      <c r="AG63" s="71">
        <f t="shared" si="32"/>
        <v>0</v>
      </c>
      <c r="AH63" s="71">
        <f t="shared" si="32"/>
        <v>0</v>
      </c>
      <c r="AI63" s="71">
        <f t="shared" si="32"/>
        <v>0</v>
      </c>
      <c r="AJ63" s="71">
        <f t="shared" si="32"/>
        <v>0</v>
      </c>
    </row>
    <row r="64" spans="1:36">
      <c r="A64" s="90">
        <f>Treatment_Guidelines!B121</f>
        <v>0</v>
      </c>
      <c r="B64" s="597">
        <f>Treatment_Guidelines!D121</f>
        <v>0</v>
      </c>
      <c r="C64" s="597">
        <f t="shared" ref="C64:C69" si="60">B64</f>
        <v>0</v>
      </c>
      <c r="D64" s="597">
        <f t="shared" ref="D64:D69" si="61">C64</f>
        <v>0</v>
      </c>
      <c r="E64" s="597">
        <f t="shared" ref="E64:E69" si="62">D64</f>
        <v>0</v>
      </c>
      <c r="F64" s="597">
        <f t="shared" ref="F64:F69" si="63">E64</f>
        <v>0</v>
      </c>
      <c r="G64" s="597">
        <f t="shared" ref="G64:G69" si="64">F64</f>
        <v>0</v>
      </c>
      <c r="I64" s="597">
        <f>Treatment_Guidelines!E121</f>
        <v>0</v>
      </c>
      <c r="J64" s="597">
        <f t="shared" si="1"/>
        <v>0</v>
      </c>
      <c r="K64" s="597">
        <f t="shared" si="2"/>
        <v>0</v>
      </c>
      <c r="L64" s="597">
        <f t="shared" si="3"/>
        <v>0</v>
      </c>
      <c r="M64" s="597">
        <f t="shared" si="4"/>
        <v>0</v>
      </c>
      <c r="N64" s="597">
        <f t="shared" si="5"/>
        <v>0</v>
      </c>
      <c r="O64" s="598"/>
      <c r="P64" s="90">
        <v>8</v>
      </c>
      <c r="Q64" s="71">
        <f>INDEX(Summary_Services!$B$6:$AF$105,$P64,26)</f>
        <v>0</v>
      </c>
      <c r="R64" s="71">
        <f>INDEX(Summary_Services!$B$6:$AF$105,$P64,27)</f>
        <v>0</v>
      </c>
      <c r="S64" s="71">
        <f>INDEX(Summary_Services!$B$6:$AF$105,$P64,28)</f>
        <v>0</v>
      </c>
      <c r="T64" s="71">
        <f>INDEX(Summary_Services!$B$6:$AF$105,$P64,29)</f>
        <v>0</v>
      </c>
      <c r="U64" s="71">
        <f>INDEX(Summary_Services!$B$6:$AF$105,$P64,30)</f>
        <v>0</v>
      </c>
      <c r="V64" s="71">
        <f>INDEX(Summary_Services!$B$6:$AF$105,$P64,31)</f>
        <v>0</v>
      </c>
      <c r="X64" s="90">
        <f t="shared" si="31"/>
        <v>0</v>
      </c>
      <c r="Y64" s="90">
        <f t="shared" si="31"/>
        <v>0</v>
      </c>
      <c r="Z64" s="90">
        <f t="shared" si="31"/>
        <v>0</v>
      </c>
      <c r="AA64" s="90">
        <f t="shared" ref="AA64:AC127" si="65">E64*T64</f>
        <v>0</v>
      </c>
      <c r="AB64" s="90">
        <f t="shared" si="65"/>
        <v>0</v>
      </c>
      <c r="AC64" s="90">
        <f t="shared" si="65"/>
        <v>0</v>
      </c>
      <c r="AE64" s="71">
        <f t="shared" si="32"/>
        <v>0</v>
      </c>
      <c r="AF64" s="71">
        <f t="shared" si="32"/>
        <v>0</v>
      </c>
      <c r="AG64" s="71">
        <f t="shared" si="32"/>
        <v>0</v>
      </c>
      <c r="AH64" s="71">
        <f t="shared" ref="AH64:AJ127" si="66">L64*T64</f>
        <v>0</v>
      </c>
      <c r="AI64" s="71">
        <f t="shared" si="66"/>
        <v>0</v>
      </c>
      <c r="AJ64" s="71">
        <f t="shared" si="66"/>
        <v>0</v>
      </c>
    </row>
    <row r="65" spans="1:36">
      <c r="A65" s="90">
        <f>Treatment_Guidelines!B122</f>
        <v>0</v>
      </c>
      <c r="B65" s="597">
        <f>Treatment_Guidelines!D122</f>
        <v>0</v>
      </c>
      <c r="C65" s="597">
        <f t="shared" si="60"/>
        <v>0</v>
      </c>
      <c r="D65" s="597">
        <f t="shared" si="61"/>
        <v>0</v>
      </c>
      <c r="E65" s="597">
        <f t="shared" si="62"/>
        <v>0</v>
      </c>
      <c r="F65" s="597">
        <f t="shared" si="63"/>
        <v>0</v>
      </c>
      <c r="G65" s="597">
        <f t="shared" si="64"/>
        <v>0</v>
      </c>
      <c r="I65" s="597">
        <f>Treatment_Guidelines!E122</f>
        <v>0</v>
      </c>
      <c r="J65" s="597">
        <f t="shared" si="1"/>
        <v>0</v>
      </c>
      <c r="K65" s="597">
        <f t="shared" si="2"/>
        <v>0</v>
      </c>
      <c r="L65" s="597">
        <f t="shared" si="3"/>
        <v>0</v>
      </c>
      <c r="M65" s="597">
        <f t="shared" si="4"/>
        <v>0</v>
      </c>
      <c r="N65" s="597">
        <f t="shared" si="5"/>
        <v>0</v>
      </c>
      <c r="O65" s="598"/>
      <c r="P65" s="90">
        <v>8</v>
      </c>
      <c r="Q65" s="71">
        <f>INDEX(Summary_Services!$B$6:$AF$105,$P65,26)</f>
        <v>0</v>
      </c>
      <c r="R65" s="71">
        <f>INDEX(Summary_Services!$B$6:$AF$105,$P65,27)</f>
        <v>0</v>
      </c>
      <c r="S65" s="71">
        <f>INDEX(Summary_Services!$B$6:$AF$105,$P65,28)</f>
        <v>0</v>
      </c>
      <c r="T65" s="71">
        <f>INDEX(Summary_Services!$B$6:$AF$105,$P65,29)</f>
        <v>0</v>
      </c>
      <c r="U65" s="71">
        <f>INDEX(Summary_Services!$B$6:$AF$105,$P65,30)</f>
        <v>0</v>
      </c>
      <c r="V65" s="71">
        <f>INDEX(Summary_Services!$B$6:$AF$105,$P65,31)</f>
        <v>0</v>
      </c>
      <c r="X65" s="90">
        <f t="shared" ref="X65:AC128" si="67">B65*Q65</f>
        <v>0</v>
      </c>
      <c r="Y65" s="90">
        <f t="shared" si="67"/>
        <v>0</v>
      </c>
      <c r="Z65" s="90">
        <f t="shared" si="67"/>
        <v>0</v>
      </c>
      <c r="AA65" s="90">
        <f t="shared" si="65"/>
        <v>0</v>
      </c>
      <c r="AB65" s="90">
        <f t="shared" si="65"/>
        <v>0</v>
      </c>
      <c r="AC65" s="90">
        <f t="shared" si="65"/>
        <v>0</v>
      </c>
      <c r="AE65" s="71">
        <f t="shared" ref="AE65:AJ128" si="68">I65*Q65</f>
        <v>0</v>
      </c>
      <c r="AF65" s="71">
        <f t="shared" si="68"/>
        <v>0</v>
      </c>
      <c r="AG65" s="71">
        <f t="shared" si="68"/>
        <v>0</v>
      </c>
      <c r="AH65" s="71">
        <f t="shared" si="66"/>
        <v>0</v>
      </c>
      <c r="AI65" s="71">
        <f t="shared" si="66"/>
        <v>0</v>
      </c>
      <c r="AJ65" s="71">
        <f t="shared" si="66"/>
        <v>0</v>
      </c>
    </row>
    <row r="66" spans="1:36">
      <c r="A66" s="90">
        <f>Treatment_Guidelines!B123</f>
        <v>0</v>
      </c>
      <c r="B66" s="597">
        <f>Treatment_Guidelines!D123</f>
        <v>0</v>
      </c>
      <c r="C66" s="597">
        <f t="shared" si="60"/>
        <v>0</v>
      </c>
      <c r="D66" s="597">
        <f t="shared" si="61"/>
        <v>0</v>
      </c>
      <c r="E66" s="597">
        <f t="shared" si="62"/>
        <v>0</v>
      </c>
      <c r="F66" s="597">
        <f t="shared" si="63"/>
        <v>0</v>
      </c>
      <c r="G66" s="597">
        <f t="shared" si="64"/>
        <v>0</v>
      </c>
      <c r="I66" s="597">
        <f>Treatment_Guidelines!E123</f>
        <v>0</v>
      </c>
      <c r="J66" s="597">
        <f t="shared" si="1"/>
        <v>0</v>
      </c>
      <c r="K66" s="597">
        <f t="shared" si="2"/>
        <v>0</v>
      </c>
      <c r="L66" s="597">
        <f t="shared" si="3"/>
        <v>0</v>
      </c>
      <c r="M66" s="597">
        <f t="shared" si="4"/>
        <v>0</v>
      </c>
      <c r="N66" s="597">
        <f t="shared" si="5"/>
        <v>0</v>
      </c>
      <c r="O66" s="598"/>
      <c r="P66" s="90">
        <v>8</v>
      </c>
      <c r="Q66" s="71">
        <f>INDEX(Summary_Services!$B$6:$AF$105,$P66,26)</f>
        <v>0</v>
      </c>
      <c r="R66" s="71">
        <f>INDEX(Summary_Services!$B$6:$AF$105,$P66,27)</f>
        <v>0</v>
      </c>
      <c r="S66" s="71">
        <f>INDEX(Summary_Services!$B$6:$AF$105,$P66,28)</f>
        <v>0</v>
      </c>
      <c r="T66" s="71">
        <f>INDEX(Summary_Services!$B$6:$AF$105,$P66,29)</f>
        <v>0</v>
      </c>
      <c r="U66" s="71">
        <f>INDEX(Summary_Services!$B$6:$AF$105,$P66,30)</f>
        <v>0</v>
      </c>
      <c r="V66" s="71">
        <f>INDEX(Summary_Services!$B$6:$AF$105,$P66,31)</f>
        <v>0</v>
      </c>
      <c r="X66" s="90">
        <f t="shared" si="67"/>
        <v>0</v>
      </c>
      <c r="Y66" s="90">
        <f t="shared" si="67"/>
        <v>0</v>
      </c>
      <c r="Z66" s="90">
        <f t="shared" si="67"/>
        <v>0</v>
      </c>
      <c r="AA66" s="90">
        <f t="shared" si="65"/>
        <v>0</v>
      </c>
      <c r="AB66" s="90">
        <f t="shared" si="65"/>
        <v>0</v>
      </c>
      <c r="AC66" s="90">
        <f t="shared" si="65"/>
        <v>0</v>
      </c>
      <c r="AE66" s="71">
        <f t="shared" si="68"/>
        <v>0</v>
      </c>
      <c r="AF66" s="71">
        <f t="shared" si="68"/>
        <v>0</v>
      </c>
      <c r="AG66" s="71">
        <f t="shared" si="68"/>
        <v>0</v>
      </c>
      <c r="AH66" s="71">
        <f t="shared" si="66"/>
        <v>0</v>
      </c>
      <c r="AI66" s="71">
        <f t="shared" si="66"/>
        <v>0</v>
      </c>
      <c r="AJ66" s="71">
        <f t="shared" si="66"/>
        <v>0</v>
      </c>
    </row>
    <row r="67" spans="1:36">
      <c r="A67" s="90">
        <f>Treatment_Guidelines!B124</f>
        <v>0</v>
      </c>
      <c r="B67" s="597">
        <f>Treatment_Guidelines!D124</f>
        <v>0</v>
      </c>
      <c r="C67" s="597">
        <f t="shared" si="60"/>
        <v>0</v>
      </c>
      <c r="D67" s="597">
        <f t="shared" si="61"/>
        <v>0</v>
      </c>
      <c r="E67" s="597">
        <f t="shared" si="62"/>
        <v>0</v>
      </c>
      <c r="F67" s="597">
        <f t="shared" si="63"/>
        <v>0</v>
      </c>
      <c r="G67" s="597">
        <f t="shared" si="64"/>
        <v>0</v>
      </c>
      <c r="I67" s="597">
        <f>Treatment_Guidelines!E124</f>
        <v>0</v>
      </c>
      <c r="J67" s="597">
        <f t="shared" si="1"/>
        <v>0</v>
      </c>
      <c r="K67" s="597">
        <f t="shared" si="2"/>
        <v>0</v>
      </c>
      <c r="L67" s="597">
        <f t="shared" si="3"/>
        <v>0</v>
      </c>
      <c r="M67" s="597">
        <f t="shared" si="4"/>
        <v>0</v>
      </c>
      <c r="N67" s="597">
        <f t="shared" si="5"/>
        <v>0</v>
      </c>
      <c r="O67" s="598"/>
      <c r="P67" s="90">
        <v>8</v>
      </c>
      <c r="Q67" s="71">
        <f>INDEX(Summary_Services!$B$6:$AF$105,$P67,26)</f>
        <v>0</v>
      </c>
      <c r="R67" s="71">
        <f>INDEX(Summary_Services!$B$6:$AF$105,$P67,27)</f>
        <v>0</v>
      </c>
      <c r="S67" s="71">
        <f>INDEX(Summary_Services!$B$6:$AF$105,$P67,28)</f>
        <v>0</v>
      </c>
      <c r="T67" s="71">
        <f>INDEX(Summary_Services!$B$6:$AF$105,$P67,29)</f>
        <v>0</v>
      </c>
      <c r="U67" s="71">
        <f>INDEX(Summary_Services!$B$6:$AF$105,$P67,30)</f>
        <v>0</v>
      </c>
      <c r="V67" s="71">
        <f>INDEX(Summary_Services!$B$6:$AF$105,$P67,31)</f>
        <v>0</v>
      </c>
      <c r="X67" s="90">
        <f t="shared" si="67"/>
        <v>0</v>
      </c>
      <c r="Y67" s="90">
        <f t="shared" si="67"/>
        <v>0</v>
      </c>
      <c r="Z67" s="90">
        <f t="shared" si="67"/>
        <v>0</v>
      </c>
      <c r="AA67" s="90">
        <f t="shared" si="65"/>
        <v>0</v>
      </c>
      <c r="AB67" s="90">
        <f t="shared" si="65"/>
        <v>0</v>
      </c>
      <c r="AC67" s="90">
        <f t="shared" si="65"/>
        <v>0</v>
      </c>
      <c r="AE67" s="71">
        <f t="shared" si="68"/>
        <v>0</v>
      </c>
      <c r="AF67" s="71">
        <f t="shared" si="68"/>
        <v>0</v>
      </c>
      <c r="AG67" s="71">
        <f t="shared" si="68"/>
        <v>0</v>
      </c>
      <c r="AH67" s="71">
        <f t="shared" si="66"/>
        <v>0</v>
      </c>
      <c r="AI67" s="71">
        <f t="shared" si="66"/>
        <v>0</v>
      </c>
      <c r="AJ67" s="71">
        <f t="shared" si="66"/>
        <v>0</v>
      </c>
    </row>
    <row r="68" spans="1:36">
      <c r="A68" s="90">
        <f>Treatment_Guidelines!B125</f>
        <v>0</v>
      </c>
      <c r="B68" s="597">
        <f>Treatment_Guidelines!D125</f>
        <v>0</v>
      </c>
      <c r="C68" s="597">
        <f t="shared" si="60"/>
        <v>0</v>
      </c>
      <c r="D68" s="597">
        <f t="shared" si="61"/>
        <v>0</v>
      </c>
      <c r="E68" s="597">
        <f t="shared" si="62"/>
        <v>0</v>
      </c>
      <c r="F68" s="597">
        <f t="shared" si="63"/>
        <v>0</v>
      </c>
      <c r="G68" s="597">
        <f t="shared" si="64"/>
        <v>0</v>
      </c>
      <c r="I68" s="597">
        <f>Treatment_Guidelines!E125</f>
        <v>0</v>
      </c>
      <c r="J68" s="597">
        <f t="shared" si="1"/>
        <v>0</v>
      </c>
      <c r="K68" s="597">
        <f t="shared" si="2"/>
        <v>0</v>
      </c>
      <c r="L68" s="597">
        <f t="shared" si="3"/>
        <v>0</v>
      </c>
      <c r="M68" s="597">
        <f t="shared" si="4"/>
        <v>0</v>
      </c>
      <c r="N68" s="597">
        <f t="shared" si="5"/>
        <v>0</v>
      </c>
      <c r="O68" s="598"/>
      <c r="P68" s="90">
        <v>8</v>
      </c>
      <c r="Q68" s="71">
        <f>INDEX(Summary_Services!$B$6:$AF$105,$P68,26)</f>
        <v>0</v>
      </c>
      <c r="R68" s="71">
        <f>INDEX(Summary_Services!$B$6:$AF$105,$P68,27)</f>
        <v>0</v>
      </c>
      <c r="S68" s="71">
        <f>INDEX(Summary_Services!$B$6:$AF$105,$P68,28)</f>
        <v>0</v>
      </c>
      <c r="T68" s="71">
        <f>INDEX(Summary_Services!$B$6:$AF$105,$P68,29)</f>
        <v>0</v>
      </c>
      <c r="U68" s="71">
        <f>INDEX(Summary_Services!$B$6:$AF$105,$P68,30)</f>
        <v>0</v>
      </c>
      <c r="V68" s="71">
        <f>INDEX(Summary_Services!$B$6:$AF$105,$P68,31)</f>
        <v>0</v>
      </c>
      <c r="X68" s="90">
        <f t="shared" si="67"/>
        <v>0</v>
      </c>
      <c r="Y68" s="90">
        <f t="shared" si="67"/>
        <v>0</v>
      </c>
      <c r="Z68" s="90">
        <f t="shared" si="67"/>
        <v>0</v>
      </c>
      <c r="AA68" s="90">
        <f t="shared" si="65"/>
        <v>0</v>
      </c>
      <c r="AB68" s="90">
        <f t="shared" si="65"/>
        <v>0</v>
      </c>
      <c r="AC68" s="90">
        <f t="shared" si="65"/>
        <v>0</v>
      </c>
      <c r="AE68" s="71">
        <f t="shared" si="68"/>
        <v>0</v>
      </c>
      <c r="AF68" s="71">
        <f t="shared" si="68"/>
        <v>0</v>
      </c>
      <c r="AG68" s="71">
        <f t="shared" si="68"/>
        <v>0</v>
      </c>
      <c r="AH68" s="71">
        <f t="shared" si="66"/>
        <v>0</v>
      </c>
      <c r="AI68" s="71">
        <f t="shared" si="66"/>
        <v>0</v>
      </c>
      <c r="AJ68" s="71">
        <f t="shared" si="66"/>
        <v>0</v>
      </c>
    </row>
    <row r="69" spans="1:36" s="599" customFormat="1">
      <c r="A69" s="90">
        <f>Treatment_Guidelines!B126</f>
        <v>0</v>
      </c>
      <c r="B69" s="597">
        <f>Treatment_Guidelines!D126</f>
        <v>0</v>
      </c>
      <c r="C69" s="597">
        <f t="shared" si="60"/>
        <v>0</v>
      </c>
      <c r="D69" s="597">
        <f t="shared" si="61"/>
        <v>0</v>
      </c>
      <c r="E69" s="597">
        <f t="shared" si="62"/>
        <v>0</v>
      </c>
      <c r="F69" s="597">
        <f t="shared" si="63"/>
        <v>0</v>
      </c>
      <c r="G69" s="597">
        <f t="shared" si="64"/>
        <v>0</v>
      </c>
      <c r="I69" s="597">
        <f>Treatment_Guidelines!E126</f>
        <v>0</v>
      </c>
      <c r="J69" s="600">
        <f t="shared" si="1"/>
        <v>0</v>
      </c>
      <c r="K69" s="600">
        <f t="shared" si="2"/>
        <v>0</v>
      </c>
      <c r="L69" s="600">
        <f t="shared" si="3"/>
        <v>0</v>
      </c>
      <c r="M69" s="600">
        <f t="shared" si="4"/>
        <v>0</v>
      </c>
      <c r="N69" s="600">
        <f t="shared" si="5"/>
        <v>0</v>
      </c>
      <c r="O69" s="601"/>
      <c r="P69" s="599">
        <v>8</v>
      </c>
      <c r="Q69" s="602">
        <f>INDEX(Summary_Services!$B$6:$AF$105,$P69,26)</f>
        <v>0</v>
      </c>
      <c r="R69" s="602">
        <f>INDEX(Summary_Services!$B$6:$AF$105,$P69,27)</f>
        <v>0</v>
      </c>
      <c r="S69" s="602">
        <f>INDEX(Summary_Services!$B$6:$AF$105,$P69,28)</f>
        <v>0</v>
      </c>
      <c r="T69" s="602">
        <f>INDEX(Summary_Services!$B$6:$AF$105,$P69,29)</f>
        <v>0</v>
      </c>
      <c r="U69" s="602">
        <f>INDEX(Summary_Services!$B$6:$AF$105,$P69,30)</f>
        <v>0</v>
      </c>
      <c r="V69" s="602">
        <f>INDEX(Summary_Services!$B$6:$AF$105,$P69,31)</f>
        <v>0</v>
      </c>
      <c r="X69" s="599">
        <f t="shared" si="67"/>
        <v>0</v>
      </c>
      <c r="Y69" s="599">
        <f t="shared" si="67"/>
        <v>0</v>
      </c>
      <c r="Z69" s="599">
        <f t="shared" si="67"/>
        <v>0</v>
      </c>
      <c r="AA69" s="599">
        <f t="shared" si="65"/>
        <v>0</v>
      </c>
      <c r="AB69" s="599">
        <f t="shared" si="65"/>
        <v>0</v>
      </c>
      <c r="AC69" s="599">
        <f t="shared" si="65"/>
        <v>0</v>
      </c>
      <c r="AE69" s="602">
        <f t="shared" si="68"/>
        <v>0</v>
      </c>
      <c r="AF69" s="602">
        <f t="shared" si="68"/>
        <v>0</v>
      </c>
      <c r="AG69" s="602">
        <f t="shared" si="68"/>
        <v>0</v>
      </c>
      <c r="AH69" s="602">
        <f t="shared" si="66"/>
        <v>0</v>
      </c>
      <c r="AI69" s="602">
        <f t="shared" si="66"/>
        <v>0</v>
      </c>
      <c r="AJ69" s="602">
        <f t="shared" si="66"/>
        <v>0</v>
      </c>
    </row>
    <row r="70" spans="1:36" s="605" customFormat="1">
      <c r="A70" s="605">
        <f>Treatment_Guidelines!B135</f>
        <v>0</v>
      </c>
      <c r="B70" s="604">
        <f>Treatment_Guidelines!D135</f>
        <v>0</v>
      </c>
      <c r="C70" s="604">
        <f t="shared" ref="C70:G79" si="69">B70</f>
        <v>0</v>
      </c>
      <c r="D70" s="604">
        <f t="shared" si="69"/>
        <v>0</v>
      </c>
      <c r="E70" s="604">
        <f t="shared" si="69"/>
        <v>0</v>
      </c>
      <c r="F70" s="604">
        <f t="shared" si="69"/>
        <v>0</v>
      </c>
      <c r="G70" s="604">
        <f t="shared" si="69"/>
        <v>0</v>
      </c>
      <c r="I70" s="604">
        <f>Treatment_Guidelines!E135</f>
        <v>0</v>
      </c>
      <c r="J70" s="604">
        <f t="shared" ref="J70:J85" si="70">$I70*(1+inflation_rate)</f>
        <v>0</v>
      </c>
      <c r="K70" s="604">
        <f t="shared" ref="K70:K85" si="71">$I70*((1+inflation_rate)^2)</f>
        <v>0</v>
      </c>
      <c r="L70" s="604">
        <f t="shared" ref="L70:L85" si="72">$I70*((1+inflation_rate)^3)</f>
        <v>0</v>
      </c>
      <c r="M70" s="604">
        <f t="shared" ref="M70:M85" si="73">$I70*((1+inflation_rate)^4)</f>
        <v>0</v>
      </c>
      <c r="N70" s="604">
        <f t="shared" ref="N70:N85" si="74">$I70*((1+inflation_rate)^5)</f>
        <v>0</v>
      </c>
      <c r="O70" s="606"/>
      <c r="P70" s="605">
        <v>9</v>
      </c>
      <c r="Q70" s="607">
        <f>INDEX(Summary_Services!$B$6:$AF$105,$P70,26)</f>
        <v>0</v>
      </c>
      <c r="R70" s="607">
        <f>INDEX(Summary_Services!$B$6:$AF$105,$P70,27)</f>
        <v>0</v>
      </c>
      <c r="S70" s="607">
        <f>INDEX(Summary_Services!$B$6:$AF$105,$P70,28)</f>
        <v>0</v>
      </c>
      <c r="T70" s="607">
        <f>INDEX(Summary_Services!$B$6:$AF$105,$P70,29)</f>
        <v>0</v>
      </c>
      <c r="U70" s="607">
        <f>INDEX(Summary_Services!$B$6:$AF$105,$P70,30)</f>
        <v>0</v>
      </c>
      <c r="V70" s="607">
        <f>INDEX(Summary_Services!$B$6:$AF$105,$P70,31)</f>
        <v>0</v>
      </c>
      <c r="X70" s="605">
        <f t="shared" si="67"/>
        <v>0</v>
      </c>
      <c r="Y70" s="605">
        <f t="shared" si="67"/>
        <v>0</v>
      </c>
      <c r="Z70" s="605">
        <f t="shared" si="67"/>
        <v>0</v>
      </c>
      <c r="AA70" s="605">
        <f t="shared" si="65"/>
        <v>0</v>
      </c>
      <c r="AB70" s="605">
        <f t="shared" si="65"/>
        <v>0</v>
      </c>
      <c r="AC70" s="605">
        <f t="shared" si="65"/>
        <v>0</v>
      </c>
      <c r="AE70" s="607">
        <f t="shared" si="68"/>
        <v>0</v>
      </c>
      <c r="AF70" s="607">
        <f t="shared" si="68"/>
        <v>0</v>
      </c>
      <c r="AG70" s="607">
        <f t="shared" si="68"/>
        <v>0</v>
      </c>
      <c r="AH70" s="607">
        <f t="shared" si="66"/>
        <v>0</v>
      </c>
      <c r="AI70" s="607">
        <f t="shared" si="66"/>
        <v>0</v>
      </c>
      <c r="AJ70" s="607">
        <f t="shared" si="66"/>
        <v>0</v>
      </c>
    </row>
    <row r="71" spans="1:36">
      <c r="A71" s="90">
        <f>Treatment_Guidelines!B136</f>
        <v>0</v>
      </c>
      <c r="B71" s="597">
        <f>Treatment_Guidelines!D136</f>
        <v>0</v>
      </c>
      <c r="C71" s="597">
        <f t="shared" si="69"/>
        <v>0</v>
      </c>
      <c r="D71" s="597">
        <f t="shared" si="69"/>
        <v>0</v>
      </c>
      <c r="E71" s="597">
        <f t="shared" si="69"/>
        <v>0</v>
      </c>
      <c r="F71" s="597">
        <f t="shared" si="69"/>
        <v>0</v>
      </c>
      <c r="G71" s="597">
        <f t="shared" si="69"/>
        <v>0</v>
      </c>
      <c r="I71" s="597">
        <f>Treatment_Guidelines!E135</f>
        <v>0</v>
      </c>
      <c r="J71" s="597">
        <f t="shared" si="70"/>
        <v>0</v>
      </c>
      <c r="K71" s="597">
        <f t="shared" si="71"/>
        <v>0</v>
      </c>
      <c r="L71" s="597">
        <f t="shared" si="72"/>
        <v>0</v>
      </c>
      <c r="M71" s="597">
        <f t="shared" si="73"/>
        <v>0</v>
      </c>
      <c r="N71" s="597">
        <f t="shared" si="74"/>
        <v>0</v>
      </c>
      <c r="O71" s="598"/>
      <c r="P71" s="90">
        <v>9</v>
      </c>
      <c r="Q71" s="71">
        <f>INDEX(Summary_Services!$B$6:$AF$105,$P71,26)</f>
        <v>0</v>
      </c>
      <c r="R71" s="71">
        <f>INDEX(Summary_Services!$B$6:$AF$105,$P71,27)</f>
        <v>0</v>
      </c>
      <c r="S71" s="71">
        <f>INDEX(Summary_Services!$B$6:$AF$105,$P71,28)</f>
        <v>0</v>
      </c>
      <c r="T71" s="71">
        <f>INDEX(Summary_Services!$B$6:$AF$105,$P71,29)</f>
        <v>0</v>
      </c>
      <c r="U71" s="71">
        <f>INDEX(Summary_Services!$B$6:$AF$105,$P71,30)</f>
        <v>0</v>
      </c>
      <c r="V71" s="71">
        <f>INDEX(Summary_Services!$B$6:$AF$105,$P71,31)</f>
        <v>0</v>
      </c>
      <c r="X71" s="90">
        <f t="shared" si="67"/>
        <v>0</v>
      </c>
      <c r="Y71" s="90">
        <f t="shared" si="67"/>
        <v>0</v>
      </c>
      <c r="Z71" s="90">
        <f t="shared" si="67"/>
        <v>0</v>
      </c>
      <c r="AA71" s="90">
        <f t="shared" si="65"/>
        <v>0</v>
      </c>
      <c r="AB71" s="90">
        <f t="shared" si="65"/>
        <v>0</v>
      </c>
      <c r="AC71" s="90">
        <f t="shared" si="65"/>
        <v>0</v>
      </c>
      <c r="AE71" s="71">
        <f t="shared" si="68"/>
        <v>0</v>
      </c>
      <c r="AF71" s="71">
        <f t="shared" si="68"/>
        <v>0</v>
      </c>
      <c r="AG71" s="71">
        <f t="shared" si="68"/>
        <v>0</v>
      </c>
      <c r="AH71" s="71">
        <f t="shared" si="66"/>
        <v>0</v>
      </c>
      <c r="AI71" s="71">
        <f t="shared" si="66"/>
        <v>0</v>
      </c>
      <c r="AJ71" s="71">
        <f t="shared" si="66"/>
        <v>0</v>
      </c>
    </row>
    <row r="72" spans="1:36">
      <c r="A72" s="90">
        <f>Treatment_Guidelines!B137</f>
        <v>0</v>
      </c>
      <c r="B72" s="597">
        <f>Treatment_Guidelines!D137</f>
        <v>0</v>
      </c>
      <c r="C72" s="597">
        <f t="shared" ref="C72:C77" si="75">B72</f>
        <v>0</v>
      </c>
      <c r="D72" s="597">
        <f t="shared" ref="D72:D77" si="76">C72</f>
        <v>0</v>
      </c>
      <c r="E72" s="597">
        <f t="shared" ref="E72:E77" si="77">D72</f>
        <v>0</v>
      </c>
      <c r="F72" s="597">
        <f t="shared" ref="F72:F77" si="78">E72</f>
        <v>0</v>
      </c>
      <c r="G72" s="597">
        <f t="shared" ref="G72:G77" si="79">F72</f>
        <v>0</v>
      </c>
      <c r="I72" s="597">
        <f>Treatment_Guidelines!E136</f>
        <v>0</v>
      </c>
      <c r="J72" s="597">
        <f t="shared" si="70"/>
        <v>0</v>
      </c>
      <c r="K72" s="597">
        <f t="shared" si="71"/>
        <v>0</v>
      </c>
      <c r="L72" s="597">
        <f t="shared" si="72"/>
        <v>0</v>
      </c>
      <c r="M72" s="597">
        <f t="shared" si="73"/>
        <v>0</v>
      </c>
      <c r="N72" s="597">
        <f t="shared" si="74"/>
        <v>0</v>
      </c>
      <c r="O72" s="598"/>
      <c r="P72" s="90">
        <v>9</v>
      </c>
      <c r="Q72" s="71">
        <f>INDEX(Summary_Services!$B$6:$AF$105,$P72,26)</f>
        <v>0</v>
      </c>
      <c r="R72" s="71">
        <f>INDEX(Summary_Services!$B$6:$AF$105,$P72,27)</f>
        <v>0</v>
      </c>
      <c r="S72" s="71">
        <f>INDEX(Summary_Services!$B$6:$AF$105,$P72,28)</f>
        <v>0</v>
      </c>
      <c r="T72" s="71">
        <f>INDEX(Summary_Services!$B$6:$AF$105,$P72,29)</f>
        <v>0</v>
      </c>
      <c r="U72" s="71">
        <f>INDEX(Summary_Services!$B$6:$AF$105,$P72,30)</f>
        <v>0</v>
      </c>
      <c r="V72" s="71">
        <f>INDEX(Summary_Services!$B$6:$AF$105,$P72,31)</f>
        <v>0</v>
      </c>
      <c r="X72" s="90">
        <f t="shared" si="67"/>
        <v>0</v>
      </c>
      <c r="Y72" s="90">
        <f t="shared" si="67"/>
        <v>0</v>
      </c>
      <c r="Z72" s="90">
        <f t="shared" si="67"/>
        <v>0</v>
      </c>
      <c r="AA72" s="90">
        <f t="shared" si="65"/>
        <v>0</v>
      </c>
      <c r="AB72" s="90">
        <f t="shared" si="65"/>
        <v>0</v>
      </c>
      <c r="AC72" s="90">
        <f t="shared" si="65"/>
        <v>0</v>
      </c>
      <c r="AE72" s="71">
        <f t="shared" si="68"/>
        <v>0</v>
      </c>
      <c r="AF72" s="71">
        <f t="shared" si="68"/>
        <v>0</v>
      </c>
      <c r="AG72" s="71">
        <f t="shared" si="68"/>
        <v>0</v>
      </c>
      <c r="AH72" s="71">
        <f t="shared" si="66"/>
        <v>0</v>
      </c>
      <c r="AI72" s="71">
        <f t="shared" si="66"/>
        <v>0</v>
      </c>
      <c r="AJ72" s="71">
        <f t="shared" si="66"/>
        <v>0</v>
      </c>
    </row>
    <row r="73" spans="1:36">
      <c r="A73" s="90">
        <f>Treatment_Guidelines!B138</f>
        <v>0</v>
      </c>
      <c r="B73" s="597">
        <f>Treatment_Guidelines!D138</f>
        <v>0</v>
      </c>
      <c r="C73" s="597">
        <f t="shared" si="75"/>
        <v>0</v>
      </c>
      <c r="D73" s="597">
        <f t="shared" si="76"/>
        <v>0</v>
      </c>
      <c r="E73" s="597">
        <f t="shared" si="77"/>
        <v>0</v>
      </c>
      <c r="F73" s="597">
        <f t="shared" si="78"/>
        <v>0</v>
      </c>
      <c r="G73" s="597">
        <f t="shared" si="79"/>
        <v>0</v>
      </c>
      <c r="I73" s="597">
        <f>Treatment_Guidelines!E137</f>
        <v>0</v>
      </c>
      <c r="J73" s="597">
        <f t="shared" si="70"/>
        <v>0</v>
      </c>
      <c r="K73" s="597">
        <f t="shared" si="71"/>
        <v>0</v>
      </c>
      <c r="L73" s="597">
        <f t="shared" si="72"/>
        <v>0</v>
      </c>
      <c r="M73" s="597">
        <f t="shared" si="73"/>
        <v>0</v>
      </c>
      <c r="N73" s="597">
        <f t="shared" si="74"/>
        <v>0</v>
      </c>
      <c r="O73" s="598"/>
      <c r="P73" s="90">
        <v>9</v>
      </c>
      <c r="Q73" s="71">
        <f>INDEX(Summary_Services!$B$6:$AF$105,$P73,26)</f>
        <v>0</v>
      </c>
      <c r="R73" s="71">
        <f>INDEX(Summary_Services!$B$6:$AF$105,$P73,27)</f>
        <v>0</v>
      </c>
      <c r="S73" s="71">
        <f>INDEX(Summary_Services!$B$6:$AF$105,$P73,28)</f>
        <v>0</v>
      </c>
      <c r="T73" s="71">
        <f>INDEX(Summary_Services!$B$6:$AF$105,$P73,29)</f>
        <v>0</v>
      </c>
      <c r="U73" s="71">
        <f>INDEX(Summary_Services!$B$6:$AF$105,$P73,30)</f>
        <v>0</v>
      </c>
      <c r="V73" s="71">
        <f>INDEX(Summary_Services!$B$6:$AF$105,$P73,31)</f>
        <v>0</v>
      </c>
      <c r="X73" s="90">
        <f t="shared" si="67"/>
        <v>0</v>
      </c>
      <c r="Y73" s="90">
        <f t="shared" si="67"/>
        <v>0</v>
      </c>
      <c r="Z73" s="90">
        <f t="shared" si="67"/>
        <v>0</v>
      </c>
      <c r="AA73" s="90">
        <f t="shared" si="65"/>
        <v>0</v>
      </c>
      <c r="AB73" s="90">
        <f t="shared" si="65"/>
        <v>0</v>
      </c>
      <c r="AC73" s="90">
        <f t="shared" si="65"/>
        <v>0</v>
      </c>
      <c r="AE73" s="71">
        <f t="shared" si="68"/>
        <v>0</v>
      </c>
      <c r="AF73" s="71">
        <f t="shared" si="68"/>
        <v>0</v>
      </c>
      <c r="AG73" s="71">
        <f t="shared" si="68"/>
        <v>0</v>
      </c>
      <c r="AH73" s="71">
        <f t="shared" si="66"/>
        <v>0</v>
      </c>
      <c r="AI73" s="71">
        <f t="shared" si="66"/>
        <v>0</v>
      </c>
      <c r="AJ73" s="71">
        <f t="shared" si="66"/>
        <v>0</v>
      </c>
    </row>
    <row r="74" spans="1:36">
      <c r="A74" s="90">
        <f>Treatment_Guidelines!B139</f>
        <v>0</v>
      </c>
      <c r="B74" s="597">
        <f>Treatment_Guidelines!D139</f>
        <v>0</v>
      </c>
      <c r="C74" s="597">
        <f t="shared" si="75"/>
        <v>0</v>
      </c>
      <c r="D74" s="597">
        <f t="shared" si="76"/>
        <v>0</v>
      </c>
      <c r="E74" s="597">
        <f t="shared" si="77"/>
        <v>0</v>
      </c>
      <c r="F74" s="597">
        <f t="shared" si="78"/>
        <v>0</v>
      </c>
      <c r="G74" s="597">
        <f t="shared" si="79"/>
        <v>0</v>
      </c>
      <c r="I74" s="597">
        <f>Treatment_Guidelines!E138</f>
        <v>0</v>
      </c>
      <c r="J74" s="597">
        <f t="shared" si="70"/>
        <v>0</v>
      </c>
      <c r="K74" s="597">
        <f t="shared" si="71"/>
        <v>0</v>
      </c>
      <c r="L74" s="597">
        <f t="shared" si="72"/>
        <v>0</v>
      </c>
      <c r="M74" s="597">
        <f t="shared" si="73"/>
        <v>0</v>
      </c>
      <c r="N74" s="597">
        <f t="shared" si="74"/>
        <v>0</v>
      </c>
      <c r="O74" s="598"/>
      <c r="P74" s="90">
        <v>9</v>
      </c>
      <c r="Q74" s="71">
        <f>INDEX(Summary_Services!$B$6:$AF$105,$P74,26)</f>
        <v>0</v>
      </c>
      <c r="R74" s="71">
        <f>INDEX(Summary_Services!$B$6:$AF$105,$P74,27)</f>
        <v>0</v>
      </c>
      <c r="S74" s="71">
        <f>INDEX(Summary_Services!$B$6:$AF$105,$P74,28)</f>
        <v>0</v>
      </c>
      <c r="T74" s="71">
        <f>INDEX(Summary_Services!$B$6:$AF$105,$P74,29)</f>
        <v>0</v>
      </c>
      <c r="U74" s="71">
        <f>INDEX(Summary_Services!$B$6:$AF$105,$P74,30)</f>
        <v>0</v>
      </c>
      <c r="V74" s="71">
        <f>INDEX(Summary_Services!$B$6:$AF$105,$P74,31)</f>
        <v>0</v>
      </c>
      <c r="X74" s="90">
        <f t="shared" si="67"/>
        <v>0</v>
      </c>
      <c r="Y74" s="90">
        <f t="shared" si="67"/>
        <v>0</v>
      </c>
      <c r="Z74" s="90">
        <f t="shared" si="67"/>
        <v>0</v>
      </c>
      <c r="AA74" s="90">
        <f t="shared" si="65"/>
        <v>0</v>
      </c>
      <c r="AB74" s="90">
        <f t="shared" si="65"/>
        <v>0</v>
      </c>
      <c r="AC74" s="90">
        <f t="shared" si="65"/>
        <v>0</v>
      </c>
      <c r="AE74" s="71">
        <f t="shared" si="68"/>
        <v>0</v>
      </c>
      <c r="AF74" s="71">
        <f t="shared" si="68"/>
        <v>0</v>
      </c>
      <c r="AG74" s="71">
        <f t="shared" si="68"/>
        <v>0</v>
      </c>
      <c r="AH74" s="71">
        <f t="shared" si="66"/>
        <v>0</v>
      </c>
      <c r="AI74" s="71">
        <f t="shared" si="66"/>
        <v>0</v>
      </c>
      <c r="AJ74" s="71">
        <f t="shared" si="66"/>
        <v>0</v>
      </c>
    </row>
    <row r="75" spans="1:36">
      <c r="A75" s="90">
        <f>Treatment_Guidelines!B140</f>
        <v>0</v>
      </c>
      <c r="B75" s="597">
        <f>Treatment_Guidelines!D140</f>
        <v>0</v>
      </c>
      <c r="C75" s="597">
        <f t="shared" si="75"/>
        <v>0</v>
      </c>
      <c r="D75" s="597">
        <f t="shared" si="76"/>
        <v>0</v>
      </c>
      <c r="E75" s="597">
        <f t="shared" si="77"/>
        <v>0</v>
      </c>
      <c r="F75" s="597">
        <f t="shared" si="78"/>
        <v>0</v>
      </c>
      <c r="G75" s="597">
        <f t="shared" si="79"/>
        <v>0</v>
      </c>
      <c r="I75" s="597">
        <f>Treatment_Guidelines!E139</f>
        <v>0</v>
      </c>
      <c r="J75" s="597">
        <f t="shared" si="70"/>
        <v>0</v>
      </c>
      <c r="K75" s="597">
        <f t="shared" si="71"/>
        <v>0</v>
      </c>
      <c r="L75" s="597">
        <f t="shared" si="72"/>
        <v>0</v>
      </c>
      <c r="M75" s="597">
        <f t="shared" si="73"/>
        <v>0</v>
      </c>
      <c r="N75" s="597">
        <f t="shared" si="74"/>
        <v>0</v>
      </c>
      <c r="O75" s="598"/>
      <c r="P75" s="90">
        <v>9</v>
      </c>
      <c r="Q75" s="71">
        <f>INDEX(Summary_Services!$B$6:$AF$105,$P75,26)</f>
        <v>0</v>
      </c>
      <c r="R75" s="71">
        <f>INDEX(Summary_Services!$B$6:$AF$105,$P75,27)</f>
        <v>0</v>
      </c>
      <c r="S75" s="71">
        <f>INDEX(Summary_Services!$B$6:$AF$105,$P75,28)</f>
        <v>0</v>
      </c>
      <c r="T75" s="71">
        <f>INDEX(Summary_Services!$B$6:$AF$105,$P75,29)</f>
        <v>0</v>
      </c>
      <c r="U75" s="71">
        <f>INDEX(Summary_Services!$B$6:$AF$105,$P75,30)</f>
        <v>0</v>
      </c>
      <c r="V75" s="71">
        <f>INDEX(Summary_Services!$B$6:$AF$105,$P75,31)</f>
        <v>0</v>
      </c>
      <c r="X75" s="90">
        <f t="shared" si="67"/>
        <v>0</v>
      </c>
      <c r="Y75" s="90">
        <f t="shared" si="67"/>
        <v>0</v>
      </c>
      <c r="Z75" s="90">
        <f t="shared" si="67"/>
        <v>0</v>
      </c>
      <c r="AA75" s="90">
        <f t="shared" si="65"/>
        <v>0</v>
      </c>
      <c r="AB75" s="90">
        <f t="shared" si="65"/>
        <v>0</v>
      </c>
      <c r="AC75" s="90">
        <f t="shared" si="65"/>
        <v>0</v>
      </c>
      <c r="AE75" s="71">
        <f t="shared" si="68"/>
        <v>0</v>
      </c>
      <c r="AF75" s="71">
        <f t="shared" si="68"/>
        <v>0</v>
      </c>
      <c r="AG75" s="71">
        <f t="shared" si="68"/>
        <v>0</v>
      </c>
      <c r="AH75" s="71">
        <f t="shared" si="66"/>
        <v>0</v>
      </c>
      <c r="AI75" s="71">
        <f t="shared" si="66"/>
        <v>0</v>
      </c>
      <c r="AJ75" s="71">
        <f t="shared" si="66"/>
        <v>0</v>
      </c>
    </row>
    <row r="76" spans="1:36">
      <c r="A76" s="90">
        <f>Treatment_Guidelines!B141</f>
        <v>0</v>
      </c>
      <c r="B76" s="597">
        <f>Treatment_Guidelines!D141</f>
        <v>0</v>
      </c>
      <c r="C76" s="597">
        <f t="shared" si="75"/>
        <v>0</v>
      </c>
      <c r="D76" s="597">
        <f t="shared" si="76"/>
        <v>0</v>
      </c>
      <c r="E76" s="597">
        <f t="shared" si="77"/>
        <v>0</v>
      </c>
      <c r="F76" s="597">
        <f t="shared" si="78"/>
        <v>0</v>
      </c>
      <c r="G76" s="597">
        <f t="shared" si="79"/>
        <v>0</v>
      </c>
      <c r="I76" s="597">
        <f>Treatment_Guidelines!E140</f>
        <v>0</v>
      </c>
      <c r="J76" s="597">
        <f t="shared" si="70"/>
        <v>0</v>
      </c>
      <c r="K76" s="597">
        <f t="shared" si="71"/>
        <v>0</v>
      </c>
      <c r="L76" s="597">
        <f t="shared" si="72"/>
        <v>0</v>
      </c>
      <c r="M76" s="597">
        <f t="shared" si="73"/>
        <v>0</v>
      </c>
      <c r="N76" s="597">
        <f t="shared" si="74"/>
        <v>0</v>
      </c>
      <c r="O76" s="598"/>
      <c r="P76" s="90">
        <v>9</v>
      </c>
      <c r="Q76" s="71">
        <f>INDEX(Summary_Services!$B$6:$AF$105,$P76,26)</f>
        <v>0</v>
      </c>
      <c r="R76" s="71">
        <f>INDEX(Summary_Services!$B$6:$AF$105,$P76,27)</f>
        <v>0</v>
      </c>
      <c r="S76" s="71">
        <f>INDEX(Summary_Services!$B$6:$AF$105,$P76,28)</f>
        <v>0</v>
      </c>
      <c r="T76" s="71">
        <f>INDEX(Summary_Services!$B$6:$AF$105,$P76,29)</f>
        <v>0</v>
      </c>
      <c r="U76" s="71">
        <f>INDEX(Summary_Services!$B$6:$AF$105,$P76,30)</f>
        <v>0</v>
      </c>
      <c r="V76" s="71">
        <f>INDEX(Summary_Services!$B$6:$AF$105,$P76,31)</f>
        <v>0</v>
      </c>
      <c r="X76" s="90">
        <f t="shared" si="67"/>
        <v>0</v>
      </c>
      <c r="Y76" s="90">
        <f t="shared" si="67"/>
        <v>0</v>
      </c>
      <c r="Z76" s="90">
        <f t="shared" si="67"/>
        <v>0</v>
      </c>
      <c r="AA76" s="90">
        <f t="shared" si="65"/>
        <v>0</v>
      </c>
      <c r="AB76" s="90">
        <f t="shared" si="65"/>
        <v>0</v>
      </c>
      <c r="AC76" s="90">
        <f t="shared" si="65"/>
        <v>0</v>
      </c>
      <c r="AE76" s="71">
        <f t="shared" si="68"/>
        <v>0</v>
      </c>
      <c r="AF76" s="71">
        <f t="shared" si="68"/>
        <v>0</v>
      </c>
      <c r="AG76" s="71">
        <f t="shared" si="68"/>
        <v>0</v>
      </c>
      <c r="AH76" s="71">
        <f t="shared" si="66"/>
        <v>0</v>
      </c>
      <c r="AI76" s="71">
        <f t="shared" si="66"/>
        <v>0</v>
      </c>
      <c r="AJ76" s="71">
        <f t="shared" si="66"/>
        <v>0</v>
      </c>
    </row>
    <row r="77" spans="1:36" s="599" customFormat="1">
      <c r="A77" s="90">
        <f>Treatment_Guidelines!B142</f>
        <v>0</v>
      </c>
      <c r="B77" s="597">
        <f>Treatment_Guidelines!D142</f>
        <v>0</v>
      </c>
      <c r="C77" s="597">
        <f t="shared" si="75"/>
        <v>0</v>
      </c>
      <c r="D77" s="597">
        <f t="shared" si="76"/>
        <v>0</v>
      </c>
      <c r="E77" s="597">
        <f t="shared" si="77"/>
        <v>0</v>
      </c>
      <c r="F77" s="597">
        <f t="shared" si="78"/>
        <v>0</v>
      </c>
      <c r="G77" s="597">
        <f t="shared" si="79"/>
        <v>0</v>
      </c>
      <c r="I77" s="597">
        <f>Treatment_Guidelines!E141</f>
        <v>0</v>
      </c>
      <c r="J77" s="600">
        <f t="shared" si="70"/>
        <v>0</v>
      </c>
      <c r="K77" s="600">
        <f t="shared" si="71"/>
        <v>0</v>
      </c>
      <c r="L77" s="600">
        <f t="shared" si="72"/>
        <v>0</v>
      </c>
      <c r="M77" s="600">
        <f t="shared" si="73"/>
        <v>0</v>
      </c>
      <c r="N77" s="600">
        <f t="shared" si="74"/>
        <v>0</v>
      </c>
      <c r="O77" s="601"/>
      <c r="P77" s="599">
        <v>9</v>
      </c>
      <c r="Q77" s="602">
        <f>INDEX(Summary_Services!$B$6:$AF$105,$P77,26)</f>
        <v>0</v>
      </c>
      <c r="R77" s="602">
        <f>INDEX(Summary_Services!$B$6:$AF$105,$P77,27)</f>
        <v>0</v>
      </c>
      <c r="S77" s="602">
        <f>INDEX(Summary_Services!$B$6:$AF$105,$P77,28)</f>
        <v>0</v>
      </c>
      <c r="T77" s="602">
        <f>INDEX(Summary_Services!$B$6:$AF$105,$P77,29)</f>
        <v>0</v>
      </c>
      <c r="U77" s="602">
        <f>INDEX(Summary_Services!$B$6:$AF$105,$P77,30)</f>
        <v>0</v>
      </c>
      <c r="V77" s="602">
        <f>INDEX(Summary_Services!$B$6:$AF$105,$P77,31)</f>
        <v>0</v>
      </c>
      <c r="X77" s="599">
        <f t="shared" si="67"/>
        <v>0</v>
      </c>
      <c r="Y77" s="599">
        <f t="shared" si="67"/>
        <v>0</v>
      </c>
      <c r="Z77" s="599">
        <f t="shared" si="67"/>
        <v>0</v>
      </c>
      <c r="AA77" s="599">
        <f t="shared" si="65"/>
        <v>0</v>
      </c>
      <c r="AB77" s="599">
        <f t="shared" si="65"/>
        <v>0</v>
      </c>
      <c r="AC77" s="599">
        <f t="shared" si="65"/>
        <v>0</v>
      </c>
      <c r="AE77" s="602">
        <f t="shared" si="68"/>
        <v>0</v>
      </c>
      <c r="AF77" s="602">
        <f t="shared" si="68"/>
        <v>0</v>
      </c>
      <c r="AG77" s="602">
        <f t="shared" si="68"/>
        <v>0</v>
      </c>
      <c r="AH77" s="602">
        <f t="shared" si="66"/>
        <v>0</v>
      </c>
      <c r="AI77" s="602">
        <f t="shared" si="66"/>
        <v>0</v>
      </c>
      <c r="AJ77" s="602">
        <f t="shared" si="66"/>
        <v>0</v>
      </c>
    </row>
    <row r="78" spans="1:36" s="605" customFormat="1">
      <c r="A78" s="605">
        <f>Treatment_Guidelines!B152</f>
        <v>0</v>
      </c>
      <c r="B78" s="604">
        <f>Treatment_Guidelines!D152</f>
        <v>0</v>
      </c>
      <c r="C78" s="604">
        <f t="shared" si="69"/>
        <v>0</v>
      </c>
      <c r="D78" s="604">
        <f t="shared" si="69"/>
        <v>0</v>
      </c>
      <c r="E78" s="604">
        <f t="shared" si="69"/>
        <v>0</v>
      </c>
      <c r="F78" s="604">
        <f t="shared" si="69"/>
        <v>0</v>
      </c>
      <c r="G78" s="604">
        <f t="shared" si="69"/>
        <v>0</v>
      </c>
      <c r="I78" s="604">
        <f>Treatment_Guidelines!E152</f>
        <v>0</v>
      </c>
      <c r="J78" s="604">
        <f t="shared" si="70"/>
        <v>0</v>
      </c>
      <c r="K78" s="604">
        <f t="shared" si="71"/>
        <v>0</v>
      </c>
      <c r="L78" s="604">
        <f t="shared" si="72"/>
        <v>0</v>
      </c>
      <c r="M78" s="604">
        <f t="shared" si="73"/>
        <v>0</v>
      </c>
      <c r="N78" s="604">
        <f t="shared" si="74"/>
        <v>0</v>
      </c>
      <c r="O78" s="606"/>
      <c r="P78" s="605">
        <v>10</v>
      </c>
      <c r="Q78" s="607">
        <f>INDEX(Summary_Services!$B$6:$AF$105,$P78,26)</f>
        <v>0</v>
      </c>
      <c r="R78" s="607">
        <f>INDEX(Summary_Services!$B$6:$AF$105,$P78,27)</f>
        <v>0</v>
      </c>
      <c r="S78" s="607">
        <f>INDEX(Summary_Services!$B$6:$AF$105,$P78,28)</f>
        <v>0</v>
      </c>
      <c r="T78" s="607">
        <f>INDEX(Summary_Services!$B$6:$AF$105,$P78,29)</f>
        <v>0</v>
      </c>
      <c r="U78" s="607">
        <f>INDEX(Summary_Services!$B$6:$AF$105,$P78,30)</f>
        <v>0</v>
      </c>
      <c r="V78" s="607">
        <f>INDEX(Summary_Services!$B$6:$AF$105,$P78,31)</f>
        <v>0</v>
      </c>
      <c r="X78" s="605">
        <f t="shared" si="67"/>
        <v>0</v>
      </c>
      <c r="Y78" s="605">
        <f t="shared" si="67"/>
        <v>0</v>
      </c>
      <c r="Z78" s="605">
        <f t="shared" si="67"/>
        <v>0</v>
      </c>
      <c r="AA78" s="605">
        <f t="shared" si="65"/>
        <v>0</v>
      </c>
      <c r="AB78" s="605">
        <f t="shared" si="65"/>
        <v>0</v>
      </c>
      <c r="AC78" s="605">
        <f t="shared" si="65"/>
        <v>0</v>
      </c>
      <c r="AE78" s="607">
        <f t="shared" si="68"/>
        <v>0</v>
      </c>
      <c r="AF78" s="607">
        <f t="shared" si="68"/>
        <v>0</v>
      </c>
      <c r="AG78" s="607">
        <f t="shared" si="68"/>
        <v>0</v>
      </c>
      <c r="AH78" s="607">
        <f t="shared" si="66"/>
        <v>0</v>
      </c>
      <c r="AI78" s="607">
        <f t="shared" si="66"/>
        <v>0</v>
      </c>
      <c r="AJ78" s="607">
        <f t="shared" si="66"/>
        <v>0</v>
      </c>
    </row>
    <row r="79" spans="1:36">
      <c r="A79" s="90">
        <f>Treatment_Guidelines!B153</f>
        <v>0</v>
      </c>
      <c r="B79" s="597">
        <f>Treatment_Guidelines!D153</f>
        <v>0</v>
      </c>
      <c r="C79" s="597">
        <f t="shared" si="69"/>
        <v>0</v>
      </c>
      <c r="D79" s="597">
        <f t="shared" si="69"/>
        <v>0</v>
      </c>
      <c r="E79" s="597">
        <f t="shared" si="69"/>
        <v>0</v>
      </c>
      <c r="F79" s="597">
        <f t="shared" si="69"/>
        <v>0</v>
      </c>
      <c r="G79" s="597">
        <f t="shared" si="69"/>
        <v>0</v>
      </c>
      <c r="I79" s="597">
        <f>Treatment_Guidelines!E153</f>
        <v>0</v>
      </c>
      <c r="J79" s="597">
        <f t="shared" si="70"/>
        <v>0</v>
      </c>
      <c r="K79" s="597">
        <f t="shared" si="71"/>
        <v>0</v>
      </c>
      <c r="L79" s="597">
        <f t="shared" si="72"/>
        <v>0</v>
      </c>
      <c r="M79" s="597">
        <f t="shared" si="73"/>
        <v>0</v>
      </c>
      <c r="N79" s="597">
        <f t="shared" si="74"/>
        <v>0</v>
      </c>
      <c r="O79" s="598"/>
      <c r="P79" s="90">
        <v>10</v>
      </c>
      <c r="Q79" s="71">
        <f>INDEX(Summary_Services!$B$6:$AF$105,$P79,26)</f>
        <v>0</v>
      </c>
      <c r="R79" s="71">
        <f>INDEX(Summary_Services!$B$6:$AF$105,$P79,27)</f>
        <v>0</v>
      </c>
      <c r="S79" s="71">
        <f>INDEX(Summary_Services!$B$6:$AF$105,$P79,28)</f>
        <v>0</v>
      </c>
      <c r="T79" s="71">
        <f>INDEX(Summary_Services!$B$6:$AF$105,$P79,29)</f>
        <v>0</v>
      </c>
      <c r="U79" s="71">
        <f>INDEX(Summary_Services!$B$6:$AF$105,$P79,30)</f>
        <v>0</v>
      </c>
      <c r="V79" s="71">
        <f>INDEX(Summary_Services!$B$6:$AF$105,$P79,31)</f>
        <v>0</v>
      </c>
      <c r="X79" s="90">
        <f t="shared" si="67"/>
        <v>0</v>
      </c>
      <c r="Y79" s="90">
        <f t="shared" si="67"/>
        <v>0</v>
      </c>
      <c r="Z79" s="90">
        <f t="shared" si="67"/>
        <v>0</v>
      </c>
      <c r="AA79" s="90">
        <f t="shared" si="65"/>
        <v>0</v>
      </c>
      <c r="AB79" s="90">
        <f t="shared" si="65"/>
        <v>0</v>
      </c>
      <c r="AC79" s="90">
        <f t="shared" si="65"/>
        <v>0</v>
      </c>
      <c r="AE79" s="71">
        <f t="shared" si="68"/>
        <v>0</v>
      </c>
      <c r="AF79" s="71">
        <f t="shared" si="68"/>
        <v>0</v>
      </c>
      <c r="AG79" s="71">
        <f t="shared" si="68"/>
        <v>0</v>
      </c>
      <c r="AH79" s="71">
        <f t="shared" si="66"/>
        <v>0</v>
      </c>
      <c r="AI79" s="71">
        <f t="shared" si="66"/>
        <v>0</v>
      </c>
      <c r="AJ79" s="71">
        <f t="shared" si="66"/>
        <v>0</v>
      </c>
    </row>
    <row r="80" spans="1:36">
      <c r="A80" s="90">
        <f>Treatment_Guidelines!B154</f>
        <v>0</v>
      </c>
      <c r="B80" s="597">
        <f>Treatment_Guidelines!D154</f>
        <v>0</v>
      </c>
      <c r="C80" s="597">
        <f t="shared" ref="C80:C85" si="80">B80</f>
        <v>0</v>
      </c>
      <c r="D80" s="597">
        <f t="shared" ref="D80:D85" si="81">C80</f>
        <v>0</v>
      </c>
      <c r="E80" s="597">
        <f t="shared" ref="E80:E85" si="82">D80</f>
        <v>0</v>
      </c>
      <c r="F80" s="597">
        <f t="shared" ref="F80:F85" si="83">E80</f>
        <v>0</v>
      </c>
      <c r="G80" s="597">
        <f t="shared" ref="G80:G85" si="84">F80</f>
        <v>0</v>
      </c>
      <c r="I80" s="597">
        <f>Treatment_Guidelines!E154</f>
        <v>0</v>
      </c>
      <c r="J80" s="597">
        <f t="shared" si="70"/>
        <v>0</v>
      </c>
      <c r="K80" s="597">
        <f t="shared" si="71"/>
        <v>0</v>
      </c>
      <c r="L80" s="597">
        <f t="shared" si="72"/>
        <v>0</v>
      </c>
      <c r="M80" s="597">
        <f t="shared" si="73"/>
        <v>0</v>
      </c>
      <c r="N80" s="597">
        <f t="shared" si="74"/>
        <v>0</v>
      </c>
      <c r="O80" s="598"/>
      <c r="P80" s="90">
        <v>10</v>
      </c>
      <c r="Q80" s="71">
        <f>INDEX(Summary_Services!$B$6:$AF$105,$P80,26)</f>
        <v>0</v>
      </c>
      <c r="R80" s="71">
        <f>INDEX(Summary_Services!$B$6:$AF$105,$P80,27)</f>
        <v>0</v>
      </c>
      <c r="S80" s="71">
        <f>INDEX(Summary_Services!$B$6:$AF$105,$P80,28)</f>
        <v>0</v>
      </c>
      <c r="T80" s="71">
        <f>INDEX(Summary_Services!$B$6:$AF$105,$P80,29)</f>
        <v>0</v>
      </c>
      <c r="U80" s="71">
        <f>INDEX(Summary_Services!$B$6:$AF$105,$P80,30)</f>
        <v>0</v>
      </c>
      <c r="V80" s="71">
        <f>INDEX(Summary_Services!$B$6:$AF$105,$P80,31)</f>
        <v>0</v>
      </c>
      <c r="X80" s="90">
        <f t="shared" si="67"/>
        <v>0</v>
      </c>
      <c r="Y80" s="90">
        <f t="shared" si="67"/>
        <v>0</v>
      </c>
      <c r="Z80" s="90">
        <f t="shared" si="67"/>
        <v>0</v>
      </c>
      <c r="AA80" s="90">
        <f t="shared" si="65"/>
        <v>0</v>
      </c>
      <c r="AB80" s="90">
        <f t="shared" si="65"/>
        <v>0</v>
      </c>
      <c r="AC80" s="90">
        <f t="shared" si="65"/>
        <v>0</v>
      </c>
      <c r="AE80" s="71">
        <f t="shared" si="68"/>
        <v>0</v>
      </c>
      <c r="AF80" s="71">
        <f t="shared" si="68"/>
        <v>0</v>
      </c>
      <c r="AG80" s="71">
        <f t="shared" si="68"/>
        <v>0</v>
      </c>
      <c r="AH80" s="71">
        <f t="shared" si="66"/>
        <v>0</v>
      </c>
      <c r="AI80" s="71">
        <f t="shared" si="66"/>
        <v>0</v>
      </c>
      <c r="AJ80" s="71">
        <f t="shared" si="66"/>
        <v>0</v>
      </c>
    </row>
    <row r="81" spans="1:36">
      <c r="A81" s="90">
        <f>Treatment_Guidelines!B155</f>
        <v>0</v>
      </c>
      <c r="B81" s="597">
        <f>Treatment_Guidelines!D155</f>
        <v>0</v>
      </c>
      <c r="C81" s="597">
        <f t="shared" si="80"/>
        <v>0</v>
      </c>
      <c r="D81" s="597">
        <f t="shared" si="81"/>
        <v>0</v>
      </c>
      <c r="E81" s="597">
        <f t="shared" si="82"/>
        <v>0</v>
      </c>
      <c r="F81" s="597">
        <f t="shared" si="83"/>
        <v>0</v>
      </c>
      <c r="G81" s="597">
        <f t="shared" si="84"/>
        <v>0</v>
      </c>
      <c r="I81" s="597">
        <f>Treatment_Guidelines!E155</f>
        <v>0</v>
      </c>
      <c r="J81" s="597">
        <f t="shared" si="70"/>
        <v>0</v>
      </c>
      <c r="K81" s="597">
        <f t="shared" si="71"/>
        <v>0</v>
      </c>
      <c r="L81" s="597">
        <f t="shared" si="72"/>
        <v>0</v>
      </c>
      <c r="M81" s="597">
        <f t="shared" si="73"/>
        <v>0</v>
      </c>
      <c r="N81" s="597">
        <f t="shared" si="74"/>
        <v>0</v>
      </c>
      <c r="O81" s="598"/>
      <c r="P81" s="90">
        <v>10</v>
      </c>
      <c r="Q81" s="71">
        <f>INDEX(Summary_Services!$B$6:$AF$105,$P81,26)</f>
        <v>0</v>
      </c>
      <c r="R81" s="71">
        <f>INDEX(Summary_Services!$B$6:$AF$105,$P81,27)</f>
        <v>0</v>
      </c>
      <c r="S81" s="71">
        <f>INDEX(Summary_Services!$B$6:$AF$105,$P81,28)</f>
        <v>0</v>
      </c>
      <c r="T81" s="71">
        <f>INDEX(Summary_Services!$B$6:$AF$105,$P81,29)</f>
        <v>0</v>
      </c>
      <c r="U81" s="71">
        <f>INDEX(Summary_Services!$B$6:$AF$105,$P81,30)</f>
        <v>0</v>
      </c>
      <c r="V81" s="71">
        <f>INDEX(Summary_Services!$B$6:$AF$105,$P81,31)</f>
        <v>0</v>
      </c>
      <c r="X81" s="90">
        <f t="shared" si="67"/>
        <v>0</v>
      </c>
      <c r="Y81" s="90">
        <f t="shared" si="67"/>
        <v>0</v>
      </c>
      <c r="Z81" s="90">
        <f t="shared" si="67"/>
        <v>0</v>
      </c>
      <c r="AA81" s="90">
        <f t="shared" si="65"/>
        <v>0</v>
      </c>
      <c r="AB81" s="90">
        <f t="shared" si="65"/>
        <v>0</v>
      </c>
      <c r="AC81" s="90">
        <f t="shared" si="65"/>
        <v>0</v>
      </c>
      <c r="AE81" s="71">
        <f t="shared" si="68"/>
        <v>0</v>
      </c>
      <c r="AF81" s="71">
        <f t="shared" si="68"/>
        <v>0</v>
      </c>
      <c r="AG81" s="71">
        <f t="shared" si="68"/>
        <v>0</v>
      </c>
      <c r="AH81" s="71">
        <f t="shared" si="66"/>
        <v>0</v>
      </c>
      <c r="AI81" s="71">
        <f t="shared" si="66"/>
        <v>0</v>
      </c>
      <c r="AJ81" s="71">
        <f t="shared" si="66"/>
        <v>0</v>
      </c>
    </row>
    <row r="82" spans="1:36">
      <c r="A82" s="90">
        <f>Treatment_Guidelines!B156</f>
        <v>0</v>
      </c>
      <c r="B82" s="597">
        <f>Treatment_Guidelines!D156</f>
        <v>0</v>
      </c>
      <c r="C82" s="597">
        <f t="shared" si="80"/>
        <v>0</v>
      </c>
      <c r="D82" s="597">
        <f t="shared" si="81"/>
        <v>0</v>
      </c>
      <c r="E82" s="597">
        <f t="shared" si="82"/>
        <v>0</v>
      </c>
      <c r="F82" s="597">
        <f t="shared" si="83"/>
        <v>0</v>
      </c>
      <c r="G82" s="597">
        <f t="shared" si="84"/>
        <v>0</v>
      </c>
      <c r="I82" s="597">
        <f>Treatment_Guidelines!E156</f>
        <v>0</v>
      </c>
      <c r="J82" s="597">
        <f t="shared" si="70"/>
        <v>0</v>
      </c>
      <c r="K82" s="597">
        <f t="shared" si="71"/>
        <v>0</v>
      </c>
      <c r="L82" s="597">
        <f t="shared" si="72"/>
        <v>0</v>
      </c>
      <c r="M82" s="597">
        <f t="shared" si="73"/>
        <v>0</v>
      </c>
      <c r="N82" s="597">
        <f t="shared" si="74"/>
        <v>0</v>
      </c>
      <c r="O82" s="598"/>
      <c r="P82" s="90">
        <v>10</v>
      </c>
      <c r="Q82" s="71">
        <f>INDEX(Summary_Services!$B$6:$AF$105,$P82,26)</f>
        <v>0</v>
      </c>
      <c r="R82" s="71">
        <f>INDEX(Summary_Services!$B$6:$AF$105,$P82,27)</f>
        <v>0</v>
      </c>
      <c r="S82" s="71">
        <f>INDEX(Summary_Services!$B$6:$AF$105,$P82,28)</f>
        <v>0</v>
      </c>
      <c r="T82" s="71">
        <f>INDEX(Summary_Services!$B$6:$AF$105,$P82,29)</f>
        <v>0</v>
      </c>
      <c r="U82" s="71">
        <f>INDEX(Summary_Services!$B$6:$AF$105,$P82,30)</f>
        <v>0</v>
      </c>
      <c r="V82" s="71">
        <f>INDEX(Summary_Services!$B$6:$AF$105,$P82,31)</f>
        <v>0</v>
      </c>
      <c r="X82" s="90">
        <f t="shared" si="67"/>
        <v>0</v>
      </c>
      <c r="Y82" s="90">
        <f t="shared" si="67"/>
        <v>0</v>
      </c>
      <c r="Z82" s="90">
        <f t="shared" si="67"/>
        <v>0</v>
      </c>
      <c r="AA82" s="90">
        <f t="shared" si="65"/>
        <v>0</v>
      </c>
      <c r="AB82" s="90">
        <f t="shared" si="65"/>
        <v>0</v>
      </c>
      <c r="AC82" s="90">
        <f t="shared" si="65"/>
        <v>0</v>
      </c>
      <c r="AE82" s="71">
        <f t="shared" si="68"/>
        <v>0</v>
      </c>
      <c r="AF82" s="71">
        <f t="shared" si="68"/>
        <v>0</v>
      </c>
      <c r="AG82" s="71">
        <f t="shared" si="68"/>
        <v>0</v>
      </c>
      <c r="AH82" s="71">
        <f t="shared" si="66"/>
        <v>0</v>
      </c>
      <c r="AI82" s="71">
        <f t="shared" si="66"/>
        <v>0</v>
      </c>
      <c r="AJ82" s="71">
        <f t="shared" si="66"/>
        <v>0</v>
      </c>
    </row>
    <row r="83" spans="1:36">
      <c r="A83" s="90">
        <f>Treatment_Guidelines!B157</f>
        <v>0</v>
      </c>
      <c r="B83" s="597">
        <f>Treatment_Guidelines!D157</f>
        <v>0</v>
      </c>
      <c r="C83" s="597">
        <f t="shared" si="80"/>
        <v>0</v>
      </c>
      <c r="D83" s="597">
        <f t="shared" si="81"/>
        <v>0</v>
      </c>
      <c r="E83" s="597">
        <f t="shared" si="82"/>
        <v>0</v>
      </c>
      <c r="F83" s="597">
        <f t="shared" si="83"/>
        <v>0</v>
      </c>
      <c r="G83" s="597">
        <f t="shared" si="84"/>
        <v>0</v>
      </c>
      <c r="I83" s="597">
        <f>Treatment_Guidelines!E157</f>
        <v>0</v>
      </c>
      <c r="J83" s="597">
        <f t="shared" si="70"/>
        <v>0</v>
      </c>
      <c r="K83" s="597">
        <f t="shared" si="71"/>
        <v>0</v>
      </c>
      <c r="L83" s="597">
        <f t="shared" si="72"/>
        <v>0</v>
      </c>
      <c r="M83" s="597">
        <f t="shared" si="73"/>
        <v>0</v>
      </c>
      <c r="N83" s="597">
        <f t="shared" si="74"/>
        <v>0</v>
      </c>
      <c r="O83" s="598"/>
      <c r="P83" s="90">
        <v>10</v>
      </c>
      <c r="Q83" s="71">
        <f>INDEX(Summary_Services!$B$6:$AF$105,$P83,26)</f>
        <v>0</v>
      </c>
      <c r="R83" s="71">
        <f>INDEX(Summary_Services!$B$6:$AF$105,$P83,27)</f>
        <v>0</v>
      </c>
      <c r="S83" s="71">
        <f>INDEX(Summary_Services!$B$6:$AF$105,$P83,28)</f>
        <v>0</v>
      </c>
      <c r="T83" s="71">
        <f>INDEX(Summary_Services!$B$6:$AF$105,$P83,29)</f>
        <v>0</v>
      </c>
      <c r="U83" s="71">
        <f>INDEX(Summary_Services!$B$6:$AF$105,$P83,30)</f>
        <v>0</v>
      </c>
      <c r="V83" s="71">
        <f>INDEX(Summary_Services!$B$6:$AF$105,$P83,31)</f>
        <v>0</v>
      </c>
      <c r="X83" s="90">
        <f t="shared" si="67"/>
        <v>0</v>
      </c>
      <c r="Y83" s="90">
        <f t="shared" si="67"/>
        <v>0</v>
      </c>
      <c r="Z83" s="90">
        <f t="shared" si="67"/>
        <v>0</v>
      </c>
      <c r="AA83" s="90">
        <f t="shared" si="65"/>
        <v>0</v>
      </c>
      <c r="AB83" s="90">
        <f t="shared" si="65"/>
        <v>0</v>
      </c>
      <c r="AC83" s="90">
        <f t="shared" si="65"/>
        <v>0</v>
      </c>
      <c r="AE83" s="71">
        <f t="shared" si="68"/>
        <v>0</v>
      </c>
      <c r="AF83" s="71">
        <f t="shared" si="68"/>
        <v>0</v>
      </c>
      <c r="AG83" s="71">
        <f t="shared" si="68"/>
        <v>0</v>
      </c>
      <c r="AH83" s="71">
        <f t="shared" si="66"/>
        <v>0</v>
      </c>
      <c r="AI83" s="71">
        <f t="shared" si="66"/>
        <v>0</v>
      </c>
      <c r="AJ83" s="71">
        <f t="shared" si="66"/>
        <v>0</v>
      </c>
    </row>
    <row r="84" spans="1:36">
      <c r="A84" s="90">
        <f>Treatment_Guidelines!B158</f>
        <v>0</v>
      </c>
      <c r="B84" s="597">
        <f>Treatment_Guidelines!D158</f>
        <v>0</v>
      </c>
      <c r="C84" s="597">
        <f t="shared" si="80"/>
        <v>0</v>
      </c>
      <c r="D84" s="597">
        <f t="shared" si="81"/>
        <v>0</v>
      </c>
      <c r="E84" s="597">
        <f t="shared" si="82"/>
        <v>0</v>
      </c>
      <c r="F84" s="597">
        <f t="shared" si="83"/>
        <v>0</v>
      </c>
      <c r="G84" s="597">
        <f t="shared" si="84"/>
        <v>0</v>
      </c>
      <c r="I84" s="597">
        <f>Treatment_Guidelines!E158</f>
        <v>0</v>
      </c>
      <c r="J84" s="597">
        <f t="shared" si="70"/>
        <v>0</v>
      </c>
      <c r="K84" s="597">
        <f t="shared" si="71"/>
        <v>0</v>
      </c>
      <c r="L84" s="597">
        <f t="shared" si="72"/>
        <v>0</v>
      </c>
      <c r="M84" s="597">
        <f t="shared" si="73"/>
        <v>0</v>
      </c>
      <c r="N84" s="597">
        <f t="shared" si="74"/>
        <v>0</v>
      </c>
      <c r="O84" s="598"/>
      <c r="P84" s="90">
        <v>10</v>
      </c>
      <c r="Q84" s="71">
        <f>INDEX(Summary_Services!$B$6:$AF$105,$P84,26)</f>
        <v>0</v>
      </c>
      <c r="R84" s="71">
        <f>INDEX(Summary_Services!$B$6:$AF$105,$P84,27)</f>
        <v>0</v>
      </c>
      <c r="S84" s="71">
        <f>INDEX(Summary_Services!$B$6:$AF$105,$P84,28)</f>
        <v>0</v>
      </c>
      <c r="T84" s="71">
        <f>INDEX(Summary_Services!$B$6:$AF$105,$P84,29)</f>
        <v>0</v>
      </c>
      <c r="U84" s="71">
        <f>INDEX(Summary_Services!$B$6:$AF$105,$P84,30)</f>
        <v>0</v>
      </c>
      <c r="V84" s="71">
        <f>INDEX(Summary_Services!$B$6:$AF$105,$P84,31)</f>
        <v>0</v>
      </c>
      <c r="X84" s="90">
        <f t="shared" si="67"/>
        <v>0</v>
      </c>
      <c r="Y84" s="90">
        <f t="shared" si="67"/>
        <v>0</v>
      </c>
      <c r="Z84" s="90">
        <f t="shared" si="67"/>
        <v>0</v>
      </c>
      <c r="AA84" s="90">
        <f t="shared" si="65"/>
        <v>0</v>
      </c>
      <c r="AB84" s="90">
        <f t="shared" si="65"/>
        <v>0</v>
      </c>
      <c r="AC84" s="90">
        <f t="shared" si="65"/>
        <v>0</v>
      </c>
      <c r="AE84" s="71">
        <f t="shared" si="68"/>
        <v>0</v>
      </c>
      <c r="AF84" s="71">
        <f t="shared" si="68"/>
        <v>0</v>
      </c>
      <c r="AG84" s="71">
        <f t="shared" si="68"/>
        <v>0</v>
      </c>
      <c r="AH84" s="71">
        <f t="shared" si="66"/>
        <v>0</v>
      </c>
      <c r="AI84" s="71">
        <f t="shared" si="66"/>
        <v>0</v>
      </c>
      <c r="AJ84" s="71">
        <f t="shared" si="66"/>
        <v>0</v>
      </c>
    </row>
    <row r="85" spans="1:36" s="599" customFormat="1">
      <c r="A85" s="90">
        <f>Treatment_Guidelines!B159</f>
        <v>0</v>
      </c>
      <c r="B85" s="597">
        <f>Treatment_Guidelines!D159</f>
        <v>0</v>
      </c>
      <c r="C85" s="597">
        <f t="shared" si="80"/>
        <v>0</v>
      </c>
      <c r="D85" s="597">
        <f t="shared" si="81"/>
        <v>0</v>
      </c>
      <c r="E85" s="597">
        <f t="shared" si="82"/>
        <v>0</v>
      </c>
      <c r="F85" s="597">
        <f t="shared" si="83"/>
        <v>0</v>
      </c>
      <c r="G85" s="597">
        <f t="shared" si="84"/>
        <v>0</v>
      </c>
      <c r="I85" s="597">
        <f>Treatment_Guidelines!E159</f>
        <v>0</v>
      </c>
      <c r="J85" s="600">
        <f t="shared" si="70"/>
        <v>0</v>
      </c>
      <c r="K85" s="600">
        <f t="shared" si="71"/>
        <v>0</v>
      </c>
      <c r="L85" s="600">
        <f t="shared" si="72"/>
        <v>0</v>
      </c>
      <c r="M85" s="600">
        <f t="shared" si="73"/>
        <v>0</v>
      </c>
      <c r="N85" s="600">
        <f t="shared" si="74"/>
        <v>0</v>
      </c>
      <c r="O85" s="601"/>
      <c r="P85" s="599">
        <v>10</v>
      </c>
      <c r="Q85" s="602">
        <f>INDEX(Summary_Services!$B$6:$AF$105,$P85,26)</f>
        <v>0</v>
      </c>
      <c r="R85" s="602">
        <f>INDEX(Summary_Services!$B$6:$AF$105,$P85,27)</f>
        <v>0</v>
      </c>
      <c r="S85" s="602">
        <f>INDEX(Summary_Services!$B$6:$AF$105,$P85,28)</f>
        <v>0</v>
      </c>
      <c r="T85" s="602">
        <f>INDEX(Summary_Services!$B$6:$AF$105,$P85,29)</f>
        <v>0</v>
      </c>
      <c r="U85" s="602">
        <f>INDEX(Summary_Services!$B$6:$AF$105,$P85,30)</f>
        <v>0</v>
      </c>
      <c r="V85" s="602">
        <f>INDEX(Summary_Services!$B$6:$AF$105,$P85,31)</f>
        <v>0</v>
      </c>
      <c r="X85" s="599">
        <f t="shared" si="67"/>
        <v>0</v>
      </c>
      <c r="Y85" s="599">
        <f t="shared" si="67"/>
        <v>0</v>
      </c>
      <c r="Z85" s="599">
        <f t="shared" si="67"/>
        <v>0</v>
      </c>
      <c r="AA85" s="599">
        <f t="shared" si="65"/>
        <v>0</v>
      </c>
      <c r="AB85" s="599">
        <f t="shared" si="65"/>
        <v>0</v>
      </c>
      <c r="AC85" s="599">
        <f t="shared" si="65"/>
        <v>0</v>
      </c>
      <c r="AE85" s="602">
        <f t="shared" si="68"/>
        <v>0</v>
      </c>
      <c r="AF85" s="602">
        <f t="shared" si="68"/>
        <v>0</v>
      </c>
      <c r="AG85" s="602">
        <f t="shared" si="68"/>
        <v>0</v>
      </c>
      <c r="AH85" s="602">
        <f t="shared" si="66"/>
        <v>0</v>
      </c>
      <c r="AI85" s="602">
        <f t="shared" si="66"/>
        <v>0</v>
      </c>
      <c r="AJ85" s="602">
        <f t="shared" si="66"/>
        <v>0</v>
      </c>
    </row>
    <row r="86" spans="1:36" s="605" customFormat="1">
      <c r="B86" s="604"/>
      <c r="C86" s="604"/>
      <c r="D86" s="604"/>
      <c r="E86" s="604"/>
      <c r="F86" s="604"/>
      <c r="G86" s="604"/>
      <c r="I86" s="604"/>
      <c r="J86" s="604"/>
      <c r="K86" s="604"/>
      <c r="L86" s="604"/>
      <c r="M86" s="604"/>
      <c r="N86" s="604"/>
      <c r="O86" s="606"/>
      <c r="P86" s="605">
        <v>11</v>
      </c>
      <c r="Q86" s="607">
        <v>0</v>
      </c>
      <c r="R86" s="607">
        <v>0</v>
      </c>
      <c r="S86" s="607">
        <v>0</v>
      </c>
      <c r="T86" s="607">
        <v>0</v>
      </c>
      <c r="U86" s="607">
        <v>0</v>
      </c>
      <c r="V86" s="607">
        <v>0</v>
      </c>
      <c r="X86" s="605">
        <f t="shared" si="67"/>
        <v>0</v>
      </c>
      <c r="Y86" s="605">
        <f t="shared" si="67"/>
        <v>0</v>
      </c>
      <c r="Z86" s="605">
        <f t="shared" si="67"/>
        <v>0</v>
      </c>
      <c r="AA86" s="605">
        <f t="shared" si="65"/>
        <v>0</v>
      </c>
      <c r="AB86" s="605">
        <f t="shared" si="65"/>
        <v>0</v>
      </c>
      <c r="AC86" s="605">
        <f t="shared" si="65"/>
        <v>0</v>
      </c>
      <c r="AE86" s="607">
        <f t="shared" si="68"/>
        <v>0</v>
      </c>
      <c r="AF86" s="607">
        <f t="shared" si="68"/>
        <v>0</v>
      </c>
      <c r="AG86" s="607">
        <f t="shared" si="68"/>
        <v>0</v>
      </c>
      <c r="AH86" s="607">
        <f t="shared" si="66"/>
        <v>0</v>
      </c>
      <c r="AI86" s="607">
        <f t="shared" si="66"/>
        <v>0</v>
      </c>
      <c r="AJ86" s="607">
        <f t="shared" si="66"/>
        <v>0</v>
      </c>
    </row>
    <row r="87" spans="1:36">
      <c r="B87" s="597"/>
      <c r="C87" s="597"/>
      <c r="D87" s="597"/>
      <c r="E87" s="597"/>
      <c r="F87" s="597"/>
      <c r="G87" s="597"/>
      <c r="I87" s="597"/>
      <c r="J87" s="597"/>
      <c r="K87" s="597"/>
      <c r="L87" s="597"/>
      <c r="M87" s="597"/>
      <c r="N87" s="597"/>
      <c r="O87" s="598"/>
      <c r="P87" s="90">
        <v>11</v>
      </c>
      <c r="Q87" s="71">
        <v>0</v>
      </c>
      <c r="R87" s="71">
        <v>0</v>
      </c>
      <c r="S87" s="71">
        <v>0</v>
      </c>
      <c r="T87" s="71">
        <v>0</v>
      </c>
      <c r="U87" s="71">
        <v>0</v>
      </c>
      <c r="V87" s="71">
        <v>0</v>
      </c>
      <c r="X87" s="90">
        <f t="shared" si="67"/>
        <v>0</v>
      </c>
      <c r="Y87" s="90">
        <f t="shared" si="67"/>
        <v>0</v>
      </c>
      <c r="Z87" s="90">
        <f t="shared" si="67"/>
        <v>0</v>
      </c>
      <c r="AA87" s="90">
        <f t="shared" si="65"/>
        <v>0</v>
      </c>
      <c r="AB87" s="90">
        <f t="shared" si="65"/>
        <v>0</v>
      </c>
      <c r="AC87" s="90">
        <f t="shared" si="65"/>
        <v>0</v>
      </c>
      <c r="AE87" s="71">
        <f t="shared" si="68"/>
        <v>0</v>
      </c>
      <c r="AF87" s="71">
        <f t="shared" si="68"/>
        <v>0</v>
      </c>
      <c r="AG87" s="71">
        <f t="shared" si="68"/>
        <v>0</v>
      </c>
      <c r="AH87" s="71">
        <f t="shared" si="66"/>
        <v>0</v>
      </c>
      <c r="AI87" s="71">
        <f t="shared" si="66"/>
        <v>0</v>
      </c>
      <c r="AJ87" s="71">
        <f t="shared" si="66"/>
        <v>0</v>
      </c>
    </row>
    <row r="88" spans="1:36">
      <c r="B88" s="597"/>
      <c r="C88" s="597"/>
      <c r="D88" s="597"/>
      <c r="E88" s="597"/>
      <c r="F88" s="597"/>
      <c r="G88" s="597"/>
      <c r="I88" s="597"/>
      <c r="J88" s="597"/>
      <c r="K88" s="597"/>
      <c r="L88" s="597"/>
      <c r="M88" s="597"/>
      <c r="N88" s="597"/>
      <c r="O88" s="598"/>
      <c r="P88" s="90">
        <v>11</v>
      </c>
      <c r="Q88" s="71">
        <v>0</v>
      </c>
      <c r="R88" s="71">
        <v>0</v>
      </c>
      <c r="S88" s="71">
        <v>0</v>
      </c>
      <c r="T88" s="71">
        <v>0</v>
      </c>
      <c r="U88" s="71">
        <v>0</v>
      </c>
      <c r="V88" s="71">
        <v>0</v>
      </c>
      <c r="X88" s="90">
        <f t="shared" si="67"/>
        <v>0</v>
      </c>
      <c r="Y88" s="90">
        <f t="shared" si="67"/>
        <v>0</v>
      </c>
      <c r="Z88" s="90">
        <f t="shared" si="67"/>
        <v>0</v>
      </c>
      <c r="AA88" s="90">
        <f t="shared" si="65"/>
        <v>0</v>
      </c>
      <c r="AB88" s="90">
        <f t="shared" si="65"/>
        <v>0</v>
      </c>
      <c r="AC88" s="90">
        <f t="shared" si="65"/>
        <v>0</v>
      </c>
      <c r="AE88" s="71">
        <f t="shared" si="68"/>
        <v>0</v>
      </c>
      <c r="AF88" s="71">
        <f t="shared" si="68"/>
        <v>0</v>
      </c>
      <c r="AG88" s="71">
        <f t="shared" si="68"/>
        <v>0</v>
      </c>
      <c r="AH88" s="71">
        <f t="shared" si="66"/>
        <v>0</v>
      </c>
      <c r="AI88" s="71">
        <f t="shared" si="66"/>
        <v>0</v>
      </c>
      <c r="AJ88" s="71">
        <f t="shared" si="66"/>
        <v>0</v>
      </c>
    </row>
    <row r="89" spans="1:36">
      <c r="B89" s="597"/>
      <c r="C89" s="597"/>
      <c r="D89" s="597"/>
      <c r="E89" s="597"/>
      <c r="F89" s="597"/>
      <c r="G89" s="597"/>
      <c r="I89" s="597"/>
      <c r="J89" s="597"/>
      <c r="K89" s="597"/>
      <c r="L89" s="597"/>
      <c r="M89" s="597"/>
      <c r="N89" s="597"/>
      <c r="O89" s="598"/>
      <c r="P89" s="90">
        <v>11</v>
      </c>
      <c r="Q89" s="71">
        <v>0</v>
      </c>
      <c r="R89" s="71">
        <v>0</v>
      </c>
      <c r="S89" s="71">
        <v>0</v>
      </c>
      <c r="T89" s="71">
        <v>0</v>
      </c>
      <c r="U89" s="71">
        <v>0</v>
      </c>
      <c r="V89" s="71">
        <v>0</v>
      </c>
      <c r="X89" s="90">
        <f t="shared" si="67"/>
        <v>0</v>
      </c>
      <c r="Y89" s="90">
        <f t="shared" si="67"/>
        <v>0</v>
      </c>
      <c r="Z89" s="90">
        <f t="shared" si="67"/>
        <v>0</v>
      </c>
      <c r="AA89" s="90">
        <f t="shared" si="65"/>
        <v>0</v>
      </c>
      <c r="AB89" s="90">
        <f t="shared" si="65"/>
        <v>0</v>
      </c>
      <c r="AC89" s="90">
        <f t="shared" si="65"/>
        <v>0</v>
      </c>
      <c r="AE89" s="71">
        <f t="shared" si="68"/>
        <v>0</v>
      </c>
      <c r="AF89" s="71">
        <f t="shared" si="68"/>
        <v>0</v>
      </c>
      <c r="AG89" s="71">
        <f t="shared" si="68"/>
        <v>0</v>
      </c>
      <c r="AH89" s="71">
        <f t="shared" si="66"/>
        <v>0</v>
      </c>
      <c r="AI89" s="71">
        <f t="shared" si="66"/>
        <v>0</v>
      </c>
      <c r="AJ89" s="71">
        <f t="shared" si="66"/>
        <v>0</v>
      </c>
    </row>
    <row r="90" spans="1:36">
      <c r="B90" s="597"/>
      <c r="C90" s="597"/>
      <c r="D90" s="597"/>
      <c r="E90" s="597"/>
      <c r="F90" s="597"/>
      <c r="G90" s="597"/>
      <c r="I90" s="597"/>
      <c r="J90" s="597"/>
      <c r="K90" s="597"/>
      <c r="L90" s="597"/>
      <c r="M90" s="597"/>
      <c r="N90" s="597"/>
      <c r="O90" s="598"/>
      <c r="P90" s="90">
        <v>11</v>
      </c>
      <c r="Q90" s="71">
        <v>0</v>
      </c>
      <c r="R90" s="71">
        <v>0</v>
      </c>
      <c r="S90" s="71">
        <v>0</v>
      </c>
      <c r="T90" s="71">
        <v>0</v>
      </c>
      <c r="U90" s="71">
        <v>0</v>
      </c>
      <c r="V90" s="71">
        <v>0</v>
      </c>
      <c r="X90" s="90">
        <f t="shared" si="67"/>
        <v>0</v>
      </c>
      <c r="Y90" s="90">
        <f t="shared" si="67"/>
        <v>0</v>
      </c>
      <c r="Z90" s="90">
        <f t="shared" si="67"/>
        <v>0</v>
      </c>
      <c r="AA90" s="90">
        <f t="shared" si="65"/>
        <v>0</v>
      </c>
      <c r="AB90" s="90">
        <f t="shared" si="65"/>
        <v>0</v>
      </c>
      <c r="AC90" s="90">
        <f t="shared" si="65"/>
        <v>0</v>
      </c>
      <c r="AE90" s="71">
        <f t="shared" si="68"/>
        <v>0</v>
      </c>
      <c r="AF90" s="71">
        <f t="shared" si="68"/>
        <v>0</v>
      </c>
      <c r="AG90" s="71">
        <f t="shared" si="68"/>
        <v>0</v>
      </c>
      <c r="AH90" s="71">
        <f t="shared" si="66"/>
        <v>0</v>
      </c>
      <c r="AI90" s="71">
        <f t="shared" si="66"/>
        <v>0</v>
      </c>
      <c r="AJ90" s="71">
        <f t="shared" si="66"/>
        <v>0</v>
      </c>
    </row>
    <row r="91" spans="1:36">
      <c r="B91" s="597"/>
      <c r="C91" s="597"/>
      <c r="D91" s="597"/>
      <c r="E91" s="597"/>
      <c r="F91" s="597"/>
      <c r="G91" s="597"/>
      <c r="I91" s="597"/>
      <c r="J91" s="597"/>
      <c r="K91" s="597"/>
      <c r="L91" s="597"/>
      <c r="M91" s="597"/>
      <c r="N91" s="597"/>
      <c r="O91" s="598"/>
      <c r="P91" s="90">
        <v>11</v>
      </c>
      <c r="Q91" s="71">
        <v>0</v>
      </c>
      <c r="R91" s="71">
        <v>0</v>
      </c>
      <c r="S91" s="71">
        <v>0</v>
      </c>
      <c r="T91" s="71">
        <v>0</v>
      </c>
      <c r="U91" s="71">
        <v>0</v>
      </c>
      <c r="V91" s="71">
        <v>0</v>
      </c>
      <c r="X91" s="90">
        <f t="shared" si="67"/>
        <v>0</v>
      </c>
      <c r="Y91" s="90">
        <f t="shared" si="67"/>
        <v>0</v>
      </c>
      <c r="Z91" s="90">
        <f t="shared" si="67"/>
        <v>0</v>
      </c>
      <c r="AA91" s="90">
        <f t="shared" si="65"/>
        <v>0</v>
      </c>
      <c r="AB91" s="90">
        <f t="shared" si="65"/>
        <v>0</v>
      </c>
      <c r="AC91" s="90">
        <f t="shared" si="65"/>
        <v>0</v>
      </c>
      <c r="AE91" s="71">
        <f t="shared" si="68"/>
        <v>0</v>
      </c>
      <c r="AF91" s="71">
        <f t="shared" si="68"/>
        <v>0</v>
      </c>
      <c r="AG91" s="71">
        <f t="shared" si="68"/>
        <v>0</v>
      </c>
      <c r="AH91" s="71">
        <f t="shared" si="66"/>
        <v>0</v>
      </c>
      <c r="AI91" s="71">
        <f t="shared" si="66"/>
        <v>0</v>
      </c>
      <c r="AJ91" s="71">
        <f t="shared" si="66"/>
        <v>0</v>
      </c>
    </row>
    <row r="92" spans="1:36">
      <c r="B92" s="597"/>
      <c r="C92" s="597"/>
      <c r="D92" s="597"/>
      <c r="E92" s="597"/>
      <c r="F92" s="597"/>
      <c r="G92" s="597"/>
      <c r="I92" s="597"/>
      <c r="J92" s="597"/>
      <c r="K92" s="597"/>
      <c r="L92" s="597"/>
      <c r="M92" s="597"/>
      <c r="N92" s="597"/>
      <c r="O92" s="598"/>
      <c r="P92" s="90">
        <v>11</v>
      </c>
      <c r="Q92" s="71">
        <v>0</v>
      </c>
      <c r="R92" s="71">
        <v>0</v>
      </c>
      <c r="S92" s="71">
        <v>0</v>
      </c>
      <c r="T92" s="71">
        <v>0</v>
      </c>
      <c r="U92" s="71">
        <v>0</v>
      </c>
      <c r="V92" s="71">
        <v>0</v>
      </c>
      <c r="X92" s="90">
        <f t="shared" si="67"/>
        <v>0</v>
      </c>
      <c r="Y92" s="90">
        <f t="shared" si="67"/>
        <v>0</v>
      </c>
      <c r="Z92" s="90">
        <f t="shared" si="67"/>
        <v>0</v>
      </c>
      <c r="AA92" s="90">
        <f t="shared" si="65"/>
        <v>0</v>
      </c>
      <c r="AB92" s="90">
        <f t="shared" si="65"/>
        <v>0</v>
      </c>
      <c r="AC92" s="90">
        <f t="shared" si="65"/>
        <v>0</v>
      </c>
      <c r="AE92" s="71">
        <f t="shared" si="68"/>
        <v>0</v>
      </c>
      <c r="AF92" s="71">
        <f t="shared" si="68"/>
        <v>0</v>
      </c>
      <c r="AG92" s="71">
        <f t="shared" si="68"/>
        <v>0</v>
      </c>
      <c r="AH92" s="71">
        <f t="shared" si="66"/>
        <v>0</v>
      </c>
      <c r="AI92" s="71">
        <f t="shared" si="66"/>
        <v>0</v>
      </c>
      <c r="AJ92" s="71">
        <f t="shared" si="66"/>
        <v>0</v>
      </c>
    </row>
    <row r="93" spans="1:36" s="599" customFormat="1">
      <c r="B93" s="600"/>
      <c r="C93" s="600"/>
      <c r="D93" s="600"/>
      <c r="E93" s="600"/>
      <c r="F93" s="600"/>
      <c r="G93" s="600"/>
      <c r="I93" s="600"/>
      <c r="J93" s="600"/>
      <c r="K93" s="600"/>
      <c r="L93" s="600"/>
      <c r="M93" s="600"/>
      <c r="N93" s="600"/>
      <c r="O93" s="601"/>
      <c r="P93" s="599">
        <v>11</v>
      </c>
      <c r="Q93" s="602">
        <v>0</v>
      </c>
      <c r="R93" s="602">
        <v>0</v>
      </c>
      <c r="S93" s="602">
        <v>0</v>
      </c>
      <c r="T93" s="602">
        <v>0</v>
      </c>
      <c r="U93" s="602">
        <v>0</v>
      </c>
      <c r="V93" s="602">
        <v>0</v>
      </c>
      <c r="X93" s="599">
        <f t="shared" si="67"/>
        <v>0</v>
      </c>
      <c r="Y93" s="599">
        <f t="shared" si="67"/>
        <v>0</v>
      </c>
      <c r="Z93" s="599">
        <f t="shared" si="67"/>
        <v>0</v>
      </c>
      <c r="AA93" s="599">
        <f t="shared" si="65"/>
        <v>0</v>
      </c>
      <c r="AB93" s="599">
        <f t="shared" si="65"/>
        <v>0</v>
      </c>
      <c r="AC93" s="599">
        <f t="shared" si="65"/>
        <v>0</v>
      </c>
      <c r="AE93" s="602">
        <f t="shared" si="68"/>
        <v>0</v>
      </c>
      <c r="AF93" s="602">
        <f t="shared" si="68"/>
        <v>0</v>
      </c>
      <c r="AG93" s="602">
        <f t="shared" si="68"/>
        <v>0</v>
      </c>
      <c r="AH93" s="602">
        <f t="shared" si="66"/>
        <v>0</v>
      </c>
      <c r="AI93" s="602">
        <f t="shared" si="66"/>
        <v>0</v>
      </c>
      <c r="AJ93" s="602">
        <f t="shared" si="66"/>
        <v>0</v>
      </c>
    </row>
    <row r="94" spans="1:36" s="605" customFormat="1">
      <c r="B94" s="604"/>
      <c r="C94" s="604"/>
      <c r="D94" s="604"/>
      <c r="E94" s="604"/>
      <c r="F94" s="604"/>
      <c r="G94" s="604"/>
      <c r="I94" s="604"/>
      <c r="J94" s="604"/>
      <c r="K94" s="604"/>
      <c r="L94" s="604"/>
      <c r="M94" s="604"/>
      <c r="N94" s="604"/>
      <c r="O94" s="606"/>
      <c r="P94" s="605">
        <v>12</v>
      </c>
      <c r="Q94" s="607">
        <v>0</v>
      </c>
      <c r="R94" s="607">
        <v>0</v>
      </c>
      <c r="S94" s="607">
        <v>0</v>
      </c>
      <c r="T94" s="607">
        <v>0</v>
      </c>
      <c r="U94" s="607">
        <v>0</v>
      </c>
      <c r="V94" s="607">
        <v>0</v>
      </c>
      <c r="X94" s="605">
        <f t="shared" si="67"/>
        <v>0</v>
      </c>
      <c r="Y94" s="605">
        <f t="shared" si="67"/>
        <v>0</v>
      </c>
      <c r="Z94" s="605">
        <f t="shared" si="67"/>
        <v>0</v>
      </c>
      <c r="AA94" s="605">
        <f t="shared" si="65"/>
        <v>0</v>
      </c>
      <c r="AB94" s="605">
        <f t="shared" si="65"/>
        <v>0</v>
      </c>
      <c r="AC94" s="605">
        <f t="shared" si="65"/>
        <v>0</v>
      </c>
      <c r="AE94" s="607">
        <f t="shared" si="68"/>
        <v>0</v>
      </c>
      <c r="AF94" s="607">
        <f t="shared" si="68"/>
        <v>0</v>
      </c>
      <c r="AG94" s="607">
        <f t="shared" si="68"/>
        <v>0</v>
      </c>
      <c r="AH94" s="607">
        <f t="shared" si="66"/>
        <v>0</v>
      </c>
      <c r="AI94" s="607">
        <f t="shared" si="66"/>
        <v>0</v>
      </c>
      <c r="AJ94" s="607">
        <f t="shared" si="66"/>
        <v>0</v>
      </c>
    </row>
    <row r="95" spans="1:36">
      <c r="B95" s="597"/>
      <c r="C95" s="597"/>
      <c r="D95" s="597"/>
      <c r="E95" s="597"/>
      <c r="F95" s="597"/>
      <c r="G95" s="597"/>
      <c r="I95" s="597"/>
      <c r="J95" s="597"/>
      <c r="K95" s="597"/>
      <c r="L95" s="597"/>
      <c r="M95" s="597"/>
      <c r="N95" s="597"/>
      <c r="O95" s="598"/>
      <c r="P95" s="90">
        <v>12</v>
      </c>
      <c r="Q95" s="71">
        <v>0</v>
      </c>
      <c r="R95" s="71">
        <v>0</v>
      </c>
      <c r="S95" s="71">
        <v>0</v>
      </c>
      <c r="T95" s="71">
        <v>0</v>
      </c>
      <c r="U95" s="71">
        <v>0</v>
      </c>
      <c r="V95" s="71">
        <v>0</v>
      </c>
      <c r="X95" s="90">
        <f t="shared" si="67"/>
        <v>0</v>
      </c>
      <c r="Y95" s="90">
        <f t="shared" si="67"/>
        <v>0</v>
      </c>
      <c r="Z95" s="90">
        <f t="shared" si="67"/>
        <v>0</v>
      </c>
      <c r="AA95" s="90">
        <f t="shared" si="65"/>
        <v>0</v>
      </c>
      <c r="AB95" s="90">
        <f t="shared" si="65"/>
        <v>0</v>
      </c>
      <c r="AC95" s="90">
        <f t="shared" si="65"/>
        <v>0</v>
      </c>
      <c r="AE95" s="71">
        <f t="shared" si="68"/>
        <v>0</v>
      </c>
      <c r="AF95" s="71">
        <f t="shared" si="68"/>
        <v>0</v>
      </c>
      <c r="AG95" s="71">
        <f t="shared" si="68"/>
        <v>0</v>
      </c>
      <c r="AH95" s="71">
        <f t="shared" si="66"/>
        <v>0</v>
      </c>
      <c r="AI95" s="71">
        <f t="shared" si="66"/>
        <v>0</v>
      </c>
      <c r="AJ95" s="71">
        <f t="shared" si="66"/>
        <v>0</v>
      </c>
    </row>
    <row r="96" spans="1:36">
      <c r="B96" s="597"/>
      <c r="C96" s="597"/>
      <c r="D96" s="597"/>
      <c r="E96" s="597"/>
      <c r="F96" s="597"/>
      <c r="G96" s="597"/>
      <c r="I96" s="597"/>
      <c r="J96" s="597"/>
      <c r="K96" s="597"/>
      <c r="L96" s="597"/>
      <c r="M96" s="597"/>
      <c r="N96" s="597"/>
      <c r="O96" s="598"/>
      <c r="P96" s="90">
        <v>12</v>
      </c>
      <c r="Q96" s="71">
        <v>0</v>
      </c>
      <c r="R96" s="71">
        <v>0</v>
      </c>
      <c r="S96" s="71">
        <v>0</v>
      </c>
      <c r="T96" s="71">
        <v>0</v>
      </c>
      <c r="U96" s="71">
        <v>0</v>
      </c>
      <c r="V96" s="71">
        <v>0</v>
      </c>
      <c r="X96" s="90">
        <f t="shared" si="67"/>
        <v>0</v>
      </c>
      <c r="Y96" s="90">
        <f t="shared" si="67"/>
        <v>0</v>
      </c>
      <c r="Z96" s="90">
        <f t="shared" si="67"/>
        <v>0</v>
      </c>
      <c r="AA96" s="90">
        <f t="shared" si="65"/>
        <v>0</v>
      </c>
      <c r="AB96" s="90">
        <f t="shared" si="65"/>
        <v>0</v>
      </c>
      <c r="AC96" s="90">
        <f t="shared" si="65"/>
        <v>0</v>
      </c>
      <c r="AE96" s="71">
        <f t="shared" si="68"/>
        <v>0</v>
      </c>
      <c r="AF96" s="71">
        <f t="shared" si="68"/>
        <v>0</v>
      </c>
      <c r="AG96" s="71">
        <f t="shared" si="68"/>
        <v>0</v>
      </c>
      <c r="AH96" s="71">
        <f t="shared" si="66"/>
        <v>0</v>
      </c>
      <c r="AI96" s="71">
        <f t="shared" si="66"/>
        <v>0</v>
      </c>
      <c r="AJ96" s="71">
        <f t="shared" si="66"/>
        <v>0</v>
      </c>
    </row>
    <row r="97" spans="2:36">
      <c r="B97" s="597"/>
      <c r="C97" s="597"/>
      <c r="D97" s="597"/>
      <c r="E97" s="597"/>
      <c r="F97" s="597"/>
      <c r="G97" s="597"/>
      <c r="I97" s="597"/>
      <c r="J97" s="597"/>
      <c r="K97" s="597"/>
      <c r="L97" s="597"/>
      <c r="M97" s="597"/>
      <c r="N97" s="597"/>
      <c r="O97" s="598"/>
      <c r="P97" s="90">
        <v>12</v>
      </c>
      <c r="Q97" s="71">
        <v>0</v>
      </c>
      <c r="R97" s="71">
        <v>0</v>
      </c>
      <c r="S97" s="71">
        <v>0</v>
      </c>
      <c r="T97" s="71">
        <v>0</v>
      </c>
      <c r="U97" s="71">
        <v>0</v>
      </c>
      <c r="V97" s="71">
        <v>0</v>
      </c>
      <c r="X97" s="90">
        <f t="shared" si="67"/>
        <v>0</v>
      </c>
      <c r="Y97" s="90">
        <f t="shared" si="67"/>
        <v>0</v>
      </c>
      <c r="Z97" s="90">
        <f t="shared" si="67"/>
        <v>0</v>
      </c>
      <c r="AA97" s="90">
        <f t="shared" si="65"/>
        <v>0</v>
      </c>
      <c r="AB97" s="90">
        <f t="shared" si="65"/>
        <v>0</v>
      </c>
      <c r="AC97" s="90">
        <f t="shared" si="65"/>
        <v>0</v>
      </c>
      <c r="AE97" s="71">
        <f t="shared" si="68"/>
        <v>0</v>
      </c>
      <c r="AF97" s="71">
        <f t="shared" si="68"/>
        <v>0</v>
      </c>
      <c r="AG97" s="71">
        <f t="shared" si="68"/>
        <v>0</v>
      </c>
      <c r="AH97" s="71">
        <f t="shared" si="66"/>
        <v>0</v>
      </c>
      <c r="AI97" s="71">
        <f t="shared" si="66"/>
        <v>0</v>
      </c>
      <c r="AJ97" s="71">
        <f t="shared" si="66"/>
        <v>0</v>
      </c>
    </row>
    <row r="98" spans="2:36">
      <c r="B98" s="597"/>
      <c r="C98" s="597"/>
      <c r="D98" s="597"/>
      <c r="E98" s="597"/>
      <c r="F98" s="597"/>
      <c r="G98" s="597"/>
      <c r="I98" s="597"/>
      <c r="J98" s="597"/>
      <c r="K98" s="597"/>
      <c r="L98" s="597"/>
      <c r="M98" s="597"/>
      <c r="N98" s="597"/>
      <c r="O98" s="598"/>
      <c r="P98" s="90">
        <v>12</v>
      </c>
      <c r="Q98" s="71">
        <v>0</v>
      </c>
      <c r="R98" s="71">
        <v>0</v>
      </c>
      <c r="S98" s="71">
        <v>0</v>
      </c>
      <c r="T98" s="71">
        <v>0</v>
      </c>
      <c r="U98" s="71">
        <v>0</v>
      </c>
      <c r="V98" s="71">
        <v>0</v>
      </c>
      <c r="X98" s="90">
        <f t="shared" si="67"/>
        <v>0</v>
      </c>
      <c r="Y98" s="90">
        <f t="shared" si="67"/>
        <v>0</v>
      </c>
      <c r="Z98" s="90">
        <f t="shared" si="67"/>
        <v>0</v>
      </c>
      <c r="AA98" s="90">
        <f t="shared" si="65"/>
        <v>0</v>
      </c>
      <c r="AB98" s="90">
        <f t="shared" si="65"/>
        <v>0</v>
      </c>
      <c r="AC98" s="90">
        <f t="shared" si="65"/>
        <v>0</v>
      </c>
      <c r="AE98" s="71">
        <f t="shared" si="68"/>
        <v>0</v>
      </c>
      <c r="AF98" s="71">
        <f t="shared" si="68"/>
        <v>0</v>
      </c>
      <c r="AG98" s="71">
        <f t="shared" si="68"/>
        <v>0</v>
      </c>
      <c r="AH98" s="71">
        <f t="shared" si="66"/>
        <v>0</v>
      </c>
      <c r="AI98" s="71">
        <f t="shared" si="66"/>
        <v>0</v>
      </c>
      <c r="AJ98" s="71">
        <f t="shared" si="66"/>
        <v>0</v>
      </c>
    </row>
    <row r="99" spans="2:36">
      <c r="B99" s="597"/>
      <c r="C99" s="597"/>
      <c r="D99" s="597"/>
      <c r="E99" s="597"/>
      <c r="F99" s="597"/>
      <c r="G99" s="597"/>
      <c r="I99" s="597"/>
      <c r="J99" s="597"/>
      <c r="K99" s="597"/>
      <c r="L99" s="597"/>
      <c r="M99" s="597"/>
      <c r="N99" s="597"/>
      <c r="O99" s="598"/>
      <c r="P99" s="90">
        <v>12</v>
      </c>
      <c r="Q99" s="71">
        <v>0</v>
      </c>
      <c r="R99" s="71">
        <v>0</v>
      </c>
      <c r="S99" s="71">
        <v>0</v>
      </c>
      <c r="T99" s="71">
        <v>0</v>
      </c>
      <c r="U99" s="71">
        <v>0</v>
      </c>
      <c r="V99" s="71">
        <v>0</v>
      </c>
      <c r="X99" s="90">
        <f t="shared" si="67"/>
        <v>0</v>
      </c>
      <c r="Y99" s="90">
        <f t="shared" si="67"/>
        <v>0</v>
      </c>
      <c r="Z99" s="90">
        <f t="shared" si="67"/>
        <v>0</v>
      </c>
      <c r="AA99" s="90">
        <f t="shared" si="65"/>
        <v>0</v>
      </c>
      <c r="AB99" s="90">
        <f t="shared" si="65"/>
        <v>0</v>
      </c>
      <c r="AC99" s="90">
        <f t="shared" si="65"/>
        <v>0</v>
      </c>
      <c r="AE99" s="71">
        <f t="shared" si="68"/>
        <v>0</v>
      </c>
      <c r="AF99" s="71">
        <f t="shared" si="68"/>
        <v>0</v>
      </c>
      <c r="AG99" s="71">
        <f t="shared" si="68"/>
        <v>0</v>
      </c>
      <c r="AH99" s="71">
        <f t="shared" si="66"/>
        <v>0</v>
      </c>
      <c r="AI99" s="71">
        <f t="shared" si="66"/>
        <v>0</v>
      </c>
      <c r="AJ99" s="71">
        <f t="shared" si="66"/>
        <v>0</v>
      </c>
    </row>
    <row r="100" spans="2:36">
      <c r="B100" s="597"/>
      <c r="C100" s="597"/>
      <c r="D100" s="597"/>
      <c r="E100" s="597"/>
      <c r="F100" s="597"/>
      <c r="G100" s="597"/>
      <c r="I100" s="597"/>
      <c r="J100" s="597"/>
      <c r="K100" s="597"/>
      <c r="L100" s="597"/>
      <c r="M100" s="597"/>
      <c r="N100" s="597"/>
      <c r="O100" s="598"/>
      <c r="P100" s="90">
        <v>12</v>
      </c>
      <c r="Q100" s="71">
        <v>0</v>
      </c>
      <c r="R100" s="71">
        <v>0</v>
      </c>
      <c r="S100" s="71">
        <v>0</v>
      </c>
      <c r="T100" s="71">
        <v>0</v>
      </c>
      <c r="U100" s="71">
        <v>0</v>
      </c>
      <c r="V100" s="71">
        <v>0</v>
      </c>
      <c r="X100" s="90">
        <f t="shared" si="67"/>
        <v>0</v>
      </c>
      <c r="Y100" s="90">
        <f t="shared" si="67"/>
        <v>0</v>
      </c>
      <c r="Z100" s="90">
        <f t="shared" si="67"/>
        <v>0</v>
      </c>
      <c r="AA100" s="90">
        <f t="shared" si="65"/>
        <v>0</v>
      </c>
      <c r="AB100" s="90">
        <f t="shared" si="65"/>
        <v>0</v>
      </c>
      <c r="AC100" s="90">
        <f t="shared" si="65"/>
        <v>0</v>
      </c>
      <c r="AE100" s="71">
        <f t="shared" si="68"/>
        <v>0</v>
      </c>
      <c r="AF100" s="71">
        <f t="shared" si="68"/>
        <v>0</v>
      </c>
      <c r="AG100" s="71">
        <f t="shared" si="68"/>
        <v>0</v>
      </c>
      <c r="AH100" s="71">
        <f t="shared" si="66"/>
        <v>0</v>
      </c>
      <c r="AI100" s="71">
        <f t="shared" si="66"/>
        <v>0</v>
      </c>
      <c r="AJ100" s="71">
        <f t="shared" si="66"/>
        <v>0</v>
      </c>
    </row>
    <row r="101" spans="2:36" s="599" customFormat="1">
      <c r="B101" s="600"/>
      <c r="C101" s="600"/>
      <c r="D101" s="600"/>
      <c r="E101" s="600"/>
      <c r="F101" s="600"/>
      <c r="G101" s="600"/>
      <c r="I101" s="600"/>
      <c r="J101" s="600"/>
      <c r="K101" s="600"/>
      <c r="L101" s="600"/>
      <c r="M101" s="600"/>
      <c r="N101" s="600"/>
      <c r="O101" s="601"/>
      <c r="P101" s="599">
        <v>12</v>
      </c>
      <c r="Q101" s="602">
        <v>0</v>
      </c>
      <c r="R101" s="602">
        <v>0</v>
      </c>
      <c r="S101" s="602">
        <v>0</v>
      </c>
      <c r="T101" s="602">
        <v>0</v>
      </c>
      <c r="U101" s="602">
        <v>0</v>
      </c>
      <c r="V101" s="602">
        <v>0</v>
      </c>
      <c r="X101" s="599">
        <f t="shared" si="67"/>
        <v>0</v>
      </c>
      <c r="Y101" s="599">
        <f t="shared" si="67"/>
        <v>0</v>
      </c>
      <c r="Z101" s="599">
        <f t="shared" si="67"/>
        <v>0</v>
      </c>
      <c r="AA101" s="599">
        <f t="shared" si="65"/>
        <v>0</v>
      </c>
      <c r="AB101" s="599">
        <f t="shared" si="65"/>
        <v>0</v>
      </c>
      <c r="AC101" s="599">
        <f t="shared" si="65"/>
        <v>0</v>
      </c>
      <c r="AE101" s="602">
        <f t="shared" si="68"/>
        <v>0</v>
      </c>
      <c r="AF101" s="602">
        <f t="shared" si="68"/>
        <v>0</v>
      </c>
      <c r="AG101" s="602">
        <f t="shared" si="68"/>
        <v>0</v>
      </c>
      <c r="AH101" s="602">
        <f t="shared" si="66"/>
        <v>0</v>
      </c>
      <c r="AI101" s="602">
        <f t="shared" si="66"/>
        <v>0</v>
      </c>
      <c r="AJ101" s="602">
        <f t="shared" si="66"/>
        <v>0</v>
      </c>
    </row>
    <row r="102" spans="2:36" s="605" customFormat="1">
      <c r="B102" s="604"/>
      <c r="C102" s="604"/>
      <c r="D102" s="604"/>
      <c r="E102" s="604"/>
      <c r="F102" s="604"/>
      <c r="G102" s="604"/>
      <c r="I102" s="604"/>
      <c r="J102" s="604"/>
      <c r="K102" s="604"/>
      <c r="L102" s="604"/>
      <c r="M102" s="604"/>
      <c r="N102" s="604"/>
      <c r="O102" s="606"/>
      <c r="P102" s="605">
        <v>13</v>
      </c>
      <c r="Q102" s="607">
        <v>0</v>
      </c>
      <c r="R102" s="607">
        <v>0</v>
      </c>
      <c r="S102" s="607">
        <v>0</v>
      </c>
      <c r="T102" s="607">
        <v>0</v>
      </c>
      <c r="U102" s="607">
        <v>0</v>
      </c>
      <c r="V102" s="607">
        <v>0</v>
      </c>
      <c r="X102" s="605">
        <f t="shared" si="67"/>
        <v>0</v>
      </c>
      <c r="Y102" s="605">
        <f t="shared" si="67"/>
        <v>0</v>
      </c>
      <c r="Z102" s="605">
        <f t="shared" si="67"/>
        <v>0</v>
      </c>
      <c r="AA102" s="605">
        <f t="shared" si="65"/>
        <v>0</v>
      </c>
      <c r="AB102" s="605">
        <f t="shared" si="65"/>
        <v>0</v>
      </c>
      <c r="AC102" s="605">
        <f t="shared" si="65"/>
        <v>0</v>
      </c>
      <c r="AE102" s="607">
        <f t="shared" si="68"/>
        <v>0</v>
      </c>
      <c r="AF102" s="607">
        <f t="shared" si="68"/>
        <v>0</v>
      </c>
      <c r="AG102" s="607">
        <f t="shared" si="68"/>
        <v>0</v>
      </c>
      <c r="AH102" s="607">
        <f t="shared" si="66"/>
        <v>0</v>
      </c>
      <c r="AI102" s="607">
        <f t="shared" si="66"/>
        <v>0</v>
      </c>
      <c r="AJ102" s="607">
        <f t="shared" si="66"/>
        <v>0</v>
      </c>
    </row>
    <row r="103" spans="2:36">
      <c r="B103" s="597"/>
      <c r="C103" s="597"/>
      <c r="D103" s="597"/>
      <c r="E103" s="597"/>
      <c r="F103" s="597"/>
      <c r="G103" s="597"/>
      <c r="I103" s="597"/>
      <c r="J103" s="597"/>
      <c r="K103" s="597"/>
      <c r="L103" s="597"/>
      <c r="M103" s="597"/>
      <c r="N103" s="597"/>
      <c r="O103" s="598"/>
      <c r="P103" s="90">
        <v>13</v>
      </c>
      <c r="Q103" s="71">
        <v>0</v>
      </c>
      <c r="R103" s="71">
        <v>0</v>
      </c>
      <c r="S103" s="71">
        <v>0</v>
      </c>
      <c r="T103" s="71">
        <v>0</v>
      </c>
      <c r="U103" s="71">
        <v>0</v>
      </c>
      <c r="V103" s="71">
        <v>0</v>
      </c>
      <c r="X103" s="90">
        <f t="shared" si="67"/>
        <v>0</v>
      </c>
      <c r="Y103" s="90">
        <f t="shared" si="67"/>
        <v>0</v>
      </c>
      <c r="Z103" s="90">
        <f t="shared" si="67"/>
        <v>0</v>
      </c>
      <c r="AA103" s="90">
        <f t="shared" si="65"/>
        <v>0</v>
      </c>
      <c r="AB103" s="90">
        <f t="shared" si="65"/>
        <v>0</v>
      </c>
      <c r="AC103" s="90">
        <f t="shared" si="65"/>
        <v>0</v>
      </c>
      <c r="AE103" s="71">
        <f t="shared" si="68"/>
        <v>0</v>
      </c>
      <c r="AF103" s="71">
        <f t="shared" si="68"/>
        <v>0</v>
      </c>
      <c r="AG103" s="71">
        <f t="shared" si="68"/>
        <v>0</v>
      </c>
      <c r="AH103" s="71">
        <f t="shared" si="66"/>
        <v>0</v>
      </c>
      <c r="AI103" s="71">
        <f t="shared" si="66"/>
        <v>0</v>
      </c>
      <c r="AJ103" s="71">
        <f t="shared" si="66"/>
        <v>0</v>
      </c>
    </row>
    <row r="104" spans="2:36">
      <c r="B104" s="597"/>
      <c r="C104" s="597"/>
      <c r="D104" s="597"/>
      <c r="E104" s="597"/>
      <c r="F104" s="597"/>
      <c r="G104" s="597"/>
      <c r="I104" s="597"/>
      <c r="J104" s="597"/>
      <c r="K104" s="597"/>
      <c r="L104" s="597"/>
      <c r="M104" s="597"/>
      <c r="N104" s="597"/>
      <c r="O104" s="598"/>
      <c r="P104" s="90">
        <v>13</v>
      </c>
      <c r="Q104" s="71">
        <v>0</v>
      </c>
      <c r="R104" s="71">
        <v>0</v>
      </c>
      <c r="S104" s="71">
        <v>0</v>
      </c>
      <c r="T104" s="71">
        <v>0</v>
      </c>
      <c r="U104" s="71">
        <v>0</v>
      </c>
      <c r="V104" s="71">
        <v>0</v>
      </c>
      <c r="X104" s="90">
        <f t="shared" si="67"/>
        <v>0</v>
      </c>
      <c r="Y104" s="90">
        <f t="shared" si="67"/>
        <v>0</v>
      </c>
      <c r="Z104" s="90">
        <f t="shared" si="67"/>
        <v>0</v>
      </c>
      <c r="AA104" s="90">
        <f t="shared" si="65"/>
        <v>0</v>
      </c>
      <c r="AB104" s="90">
        <f t="shared" si="65"/>
        <v>0</v>
      </c>
      <c r="AC104" s="90">
        <f t="shared" si="65"/>
        <v>0</v>
      </c>
      <c r="AE104" s="71">
        <f t="shared" si="68"/>
        <v>0</v>
      </c>
      <c r="AF104" s="71">
        <f t="shared" si="68"/>
        <v>0</v>
      </c>
      <c r="AG104" s="71">
        <f t="shared" si="68"/>
        <v>0</v>
      </c>
      <c r="AH104" s="71">
        <f t="shared" si="66"/>
        <v>0</v>
      </c>
      <c r="AI104" s="71">
        <f t="shared" si="66"/>
        <v>0</v>
      </c>
      <c r="AJ104" s="71">
        <f t="shared" si="66"/>
        <v>0</v>
      </c>
    </row>
    <row r="105" spans="2:36">
      <c r="B105" s="597"/>
      <c r="C105" s="597"/>
      <c r="D105" s="597"/>
      <c r="E105" s="597"/>
      <c r="F105" s="597"/>
      <c r="G105" s="597"/>
      <c r="I105" s="597"/>
      <c r="J105" s="597"/>
      <c r="K105" s="597"/>
      <c r="L105" s="597"/>
      <c r="M105" s="597"/>
      <c r="N105" s="597"/>
      <c r="O105" s="598"/>
      <c r="P105" s="90">
        <v>13</v>
      </c>
      <c r="Q105" s="71">
        <v>0</v>
      </c>
      <c r="R105" s="71">
        <v>0</v>
      </c>
      <c r="S105" s="71">
        <v>0</v>
      </c>
      <c r="T105" s="71">
        <v>0</v>
      </c>
      <c r="U105" s="71">
        <v>0</v>
      </c>
      <c r="V105" s="71">
        <v>0</v>
      </c>
      <c r="X105" s="90">
        <f t="shared" si="67"/>
        <v>0</v>
      </c>
      <c r="Y105" s="90">
        <f t="shared" si="67"/>
        <v>0</v>
      </c>
      <c r="Z105" s="90">
        <f t="shared" si="67"/>
        <v>0</v>
      </c>
      <c r="AA105" s="90">
        <f t="shared" si="65"/>
        <v>0</v>
      </c>
      <c r="AB105" s="90">
        <f t="shared" si="65"/>
        <v>0</v>
      </c>
      <c r="AC105" s="90">
        <f t="shared" si="65"/>
        <v>0</v>
      </c>
      <c r="AE105" s="71">
        <f t="shared" si="68"/>
        <v>0</v>
      </c>
      <c r="AF105" s="71">
        <f t="shared" si="68"/>
        <v>0</v>
      </c>
      <c r="AG105" s="71">
        <f t="shared" si="68"/>
        <v>0</v>
      </c>
      <c r="AH105" s="71">
        <f t="shared" si="66"/>
        <v>0</v>
      </c>
      <c r="AI105" s="71">
        <f t="shared" si="66"/>
        <v>0</v>
      </c>
      <c r="AJ105" s="71">
        <f t="shared" si="66"/>
        <v>0</v>
      </c>
    </row>
    <row r="106" spans="2:36">
      <c r="B106" s="597"/>
      <c r="C106" s="597"/>
      <c r="D106" s="597"/>
      <c r="E106" s="597"/>
      <c r="F106" s="597"/>
      <c r="G106" s="597"/>
      <c r="I106" s="597"/>
      <c r="J106" s="597"/>
      <c r="K106" s="597"/>
      <c r="L106" s="597"/>
      <c r="M106" s="597"/>
      <c r="N106" s="597"/>
      <c r="O106" s="598"/>
      <c r="P106" s="90">
        <v>13</v>
      </c>
      <c r="Q106" s="71">
        <v>0</v>
      </c>
      <c r="R106" s="71">
        <v>0</v>
      </c>
      <c r="S106" s="71">
        <v>0</v>
      </c>
      <c r="T106" s="71">
        <v>0</v>
      </c>
      <c r="U106" s="71">
        <v>0</v>
      </c>
      <c r="V106" s="71">
        <v>0</v>
      </c>
      <c r="X106" s="90">
        <f t="shared" si="67"/>
        <v>0</v>
      </c>
      <c r="Y106" s="90">
        <f t="shared" si="67"/>
        <v>0</v>
      </c>
      <c r="Z106" s="90">
        <f t="shared" si="67"/>
        <v>0</v>
      </c>
      <c r="AA106" s="90">
        <f t="shared" si="65"/>
        <v>0</v>
      </c>
      <c r="AB106" s="90">
        <f t="shared" si="65"/>
        <v>0</v>
      </c>
      <c r="AC106" s="90">
        <f t="shared" si="65"/>
        <v>0</v>
      </c>
      <c r="AE106" s="71">
        <f t="shared" si="68"/>
        <v>0</v>
      </c>
      <c r="AF106" s="71">
        <f t="shared" si="68"/>
        <v>0</v>
      </c>
      <c r="AG106" s="71">
        <f t="shared" si="68"/>
        <v>0</v>
      </c>
      <c r="AH106" s="71">
        <f t="shared" si="66"/>
        <v>0</v>
      </c>
      <c r="AI106" s="71">
        <f t="shared" si="66"/>
        <v>0</v>
      </c>
      <c r="AJ106" s="71">
        <f t="shared" si="66"/>
        <v>0</v>
      </c>
    </row>
    <row r="107" spans="2:36">
      <c r="B107" s="597"/>
      <c r="C107" s="597"/>
      <c r="D107" s="597"/>
      <c r="E107" s="597"/>
      <c r="F107" s="597"/>
      <c r="G107" s="597"/>
      <c r="I107" s="597"/>
      <c r="J107" s="597"/>
      <c r="K107" s="597"/>
      <c r="L107" s="597"/>
      <c r="M107" s="597"/>
      <c r="N107" s="597"/>
      <c r="O107" s="598"/>
      <c r="P107" s="90">
        <v>13</v>
      </c>
      <c r="Q107" s="71">
        <v>0</v>
      </c>
      <c r="R107" s="71">
        <v>0</v>
      </c>
      <c r="S107" s="71">
        <v>0</v>
      </c>
      <c r="T107" s="71">
        <v>0</v>
      </c>
      <c r="U107" s="71">
        <v>0</v>
      </c>
      <c r="V107" s="71">
        <v>0</v>
      </c>
      <c r="X107" s="90">
        <f t="shared" si="67"/>
        <v>0</v>
      </c>
      <c r="Y107" s="90">
        <f t="shared" si="67"/>
        <v>0</v>
      </c>
      <c r="Z107" s="90">
        <f t="shared" si="67"/>
        <v>0</v>
      </c>
      <c r="AA107" s="90">
        <f t="shared" si="65"/>
        <v>0</v>
      </c>
      <c r="AB107" s="90">
        <f t="shared" si="65"/>
        <v>0</v>
      </c>
      <c r="AC107" s="90">
        <f t="shared" si="65"/>
        <v>0</v>
      </c>
      <c r="AE107" s="71">
        <f t="shared" si="68"/>
        <v>0</v>
      </c>
      <c r="AF107" s="71">
        <f t="shared" si="68"/>
        <v>0</v>
      </c>
      <c r="AG107" s="71">
        <f t="shared" si="68"/>
        <v>0</v>
      </c>
      <c r="AH107" s="71">
        <f t="shared" si="66"/>
        <v>0</v>
      </c>
      <c r="AI107" s="71">
        <f t="shared" si="66"/>
        <v>0</v>
      </c>
      <c r="AJ107" s="71">
        <f t="shared" si="66"/>
        <v>0</v>
      </c>
    </row>
    <row r="108" spans="2:36">
      <c r="B108" s="597"/>
      <c r="C108" s="597"/>
      <c r="D108" s="597"/>
      <c r="E108" s="597"/>
      <c r="F108" s="597"/>
      <c r="G108" s="597"/>
      <c r="I108" s="597"/>
      <c r="J108" s="597"/>
      <c r="K108" s="597"/>
      <c r="L108" s="597"/>
      <c r="M108" s="597"/>
      <c r="N108" s="597"/>
      <c r="O108" s="598"/>
      <c r="P108" s="90">
        <v>13</v>
      </c>
      <c r="Q108" s="71">
        <v>0</v>
      </c>
      <c r="R108" s="71">
        <v>0</v>
      </c>
      <c r="S108" s="71">
        <v>0</v>
      </c>
      <c r="T108" s="71">
        <v>0</v>
      </c>
      <c r="U108" s="71">
        <v>0</v>
      </c>
      <c r="V108" s="71">
        <v>0</v>
      </c>
      <c r="X108" s="90">
        <f t="shared" si="67"/>
        <v>0</v>
      </c>
      <c r="Y108" s="90">
        <f t="shared" si="67"/>
        <v>0</v>
      </c>
      <c r="Z108" s="90">
        <f t="shared" si="67"/>
        <v>0</v>
      </c>
      <c r="AA108" s="90">
        <f t="shared" si="65"/>
        <v>0</v>
      </c>
      <c r="AB108" s="90">
        <f t="shared" si="65"/>
        <v>0</v>
      </c>
      <c r="AC108" s="90">
        <f t="shared" si="65"/>
        <v>0</v>
      </c>
      <c r="AE108" s="71">
        <f t="shared" si="68"/>
        <v>0</v>
      </c>
      <c r="AF108" s="71">
        <f t="shared" si="68"/>
        <v>0</v>
      </c>
      <c r="AG108" s="71">
        <f t="shared" si="68"/>
        <v>0</v>
      </c>
      <c r="AH108" s="71">
        <f t="shared" si="66"/>
        <v>0</v>
      </c>
      <c r="AI108" s="71">
        <f t="shared" si="66"/>
        <v>0</v>
      </c>
      <c r="AJ108" s="71">
        <f t="shared" si="66"/>
        <v>0</v>
      </c>
    </row>
    <row r="109" spans="2:36" s="599" customFormat="1">
      <c r="B109" s="600"/>
      <c r="C109" s="600"/>
      <c r="D109" s="600"/>
      <c r="E109" s="600"/>
      <c r="F109" s="600"/>
      <c r="G109" s="600"/>
      <c r="I109" s="600"/>
      <c r="J109" s="600"/>
      <c r="K109" s="600"/>
      <c r="L109" s="600"/>
      <c r="M109" s="600"/>
      <c r="N109" s="600"/>
      <c r="O109" s="601"/>
      <c r="P109" s="599">
        <v>13</v>
      </c>
      <c r="Q109" s="602">
        <v>0</v>
      </c>
      <c r="R109" s="602">
        <v>0</v>
      </c>
      <c r="S109" s="602">
        <v>0</v>
      </c>
      <c r="T109" s="602">
        <v>0</v>
      </c>
      <c r="U109" s="602">
        <v>0</v>
      </c>
      <c r="V109" s="602">
        <v>0</v>
      </c>
      <c r="X109" s="599">
        <f t="shared" si="67"/>
        <v>0</v>
      </c>
      <c r="Y109" s="599">
        <f t="shared" si="67"/>
        <v>0</v>
      </c>
      <c r="Z109" s="599">
        <f t="shared" si="67"/>
        <v>0</v>
      </c>
      <c r="AA109" s="599">
        <f t="shared" si="65"/>
        <v>0</v>
      </c>
      <c r="AB109" s="599">
        <f t="shared" si="65"/>
        <v>0</v>
      </c>
      <c r="AC109" s="599">
        <f t="shared" si="65"/>
        <v>0</v>
      </c>
      <c r="AE109" s="602">
        <f t="shared" si="68"/>
        <v>0</v>
      </c>
      <c r="AF109" s="602">
        <f t="shared" si="68"/>
        <v>0</v>
      </c>
      <c r="AG109" s="602">
        <f t="shared" si="68"/>
        <v>0</v>
      </c>
      <c r="AH109" s="602">
        <f t="shared" si="66"/>
        <v>0</v>
      </c>
      <c r="AI109" s="602">
        <f t="shared" si="66"/>
        <v>0</v>
      </c>
      <c r="AJ109" s="602">
        <f t="shared" si="66"/>
        <v>0</v>
      </c>
    </row>
    <row r="110" spans="2:36" s="605" customFormat="1">
      <c r="B110" s="604"/>
      <c r="C110" s="604"/>
      <c r="D110" s="604"/>
      <c r="E110" s="604"/>
      <c r="F110" s="604"/>
      <c r="G110" s="604"/>
      <c r="I110" s="604"/>
      <c r="J110" s="604"/>
      <c r="K110" s="604"/>
      <c r="L110" s="604"/>
      <c r="M110" s="604"/>
      <c r="N110" s="604"/>
      <c r="O110" s="606"/>
      <c r="P110" s="605">
        <v>14</v>
      </c>
      <c r="Q110" s="607">
        <v>0</v>
      </c>
      <c r="R110" s="607">
        <v>0</v>
      </c>
      <c r="S110" s="607">
        <v>0</v>
      </c>
      <c r="T110" s="607">
        <v>0</v>
      </c>
      <c r="U110" s="607">
        <v>0</v>
      </c>
      <c r="V110" s="607">
        <v>0</v>
      </c>
      <c r="X110" s="605">
        <f t="shared" si="67"/>
        <v>0</v>
      </c>
      <c r="Y110" s="605">
        <f t="shared" si="67"/>
        <v>0</v>
      </c>
      <c r="Z110" s="605">
        <f t="shared" si="67"/>
        <v>0</v>
      </c>
      <c r="AA110" s="605">
        <f t="shared" si="65"/>
        <v>0</v>
      </c>
      <c r="AB110" s="605">
        <f t="shared" si="65"/>
        <v>0</v>
      </c>
      <c r="AC110" s="605">
        <f t="shared" si="65"/>
        <v>0</v>
      </c>
      <c r="AE110" s="607">
        <f t="shared" si="68"/>
        <v>0</v>
      </c>
      <c r="AF110" s="607">
        <f t="shared" si="68"/>
        <v>0</v>
      </c>
      <c r="AG110" s="607">
        <f t="shared" si="68"/>
        <v>0</v>
      </c>
      <c r="AH110" s="607">
        <f t="shared" si="66"/>
        <v>0</v>
      </c>
      <c r="AI110" s="607">
        <f t="shared" si="66"/>
        <v>0</v>
      </c>
      <c r="AJ110" s="607">
        <f t="shared" si="66"/>
        <v>0</v>
      </c>
    </row>
    <row r="111" spans="2:36">
      <c r="B111" s="597"/>
      <c r="C111" s="597"/>
      <c r="D111" s="597"/>
      <c r="E111" s="597"/>
      <c r="F111" s="597"/>
      <c r="G111" s="597"/>
      <c r="I111" s="597"/>
      <c r="J111" s="597"/>
      <c r="K111" s="597"/>
      <c r="L111" s="597"/>
      <c r="M111" s="597"/>
      <c r="N111" s="597"/>
      <c r="O111" s="598"/>
      <c r="P111" s="90">
        <v>14</v>
      </c>
      <c r="Q111" s="71">
        <v>0</v>
      </c>
      <c r="R111" s="71">
        <v>0</v>
      </c>
      <c r="S111" s="71">
        <v>0</v>
      </c>
      <c r="T111" s="71">
        <v>0</v>
      </c>
      <c r="U111" s="71">
        <v>0</v>
      </c>
      <c r="V111" s="71">
        <v>0</v>
      </c>
      <c r="X111" s="90">
        <f t="shared" si="67"/>
        <v>0</v>
      </c>
      <c r="Y111" s="90">
        <f t="shared" si="67"/>
        <v>0</v>
      </c>
      <c r="Z111" s="90">
        <f t="shared" si="67"/>
        <v>0</v>
      </c>
      <c r="AA111" s="90">
        <f t="shared" si="65"/>
        <v>0</v>
      </c>
      <c r="AB111" s="90">
        <f t="shared" si="65"/>
        <v>0</v>
      </c>
      <c r="AC111" s="90">
        <f t="shared" si="65"/>
        <v>0</v>
      </c>
      <c r="AE111" s="71">
        <f t="shared" si="68"/>
        <v>0</v>
      </c>
      <c r="AF111" s="71">
        <f t="shared" si="68"/>
        <v>0</v>
      </c>
      <c r="AG111" s="71">
        <f t="shared" si="68"/>
        <v>0</v>
      </c>
      <c r="AH111" s="71">
        <f t="shared" si="66"/>
        <v>0</v>
      </c>
      <c r="AI111" s="71">
        <f t="shared" si="66"/>
        <v>0</v>
      </c>
      <c r="AJ111" s="71">
        <f t="shared" si="66"/>
        <v>0</v>
      </c>
    </row>
    <row r="112" spans="2:36">
      <c r="B112" s="597"/>
      <c r="C112" s="597"/>
      <c r="D112" s="597"/>
      <c r="E112" s="597"/>
      <c r="F112" s="597"/>
      <c r="G112" s="597"/>
      <c r="I112" s="597"/>
      <c r="J112" s="597"/>
      <c r="K112" s="597"/>
      <c r="L112" s="597"/>
      <c r="M112" s="597"/>
      <c r="N112" s="597"/>
      <c r="O112" s="598"/>
      <c r="P112" s="90">
        <v>14</v>
      </c>
      <c r="Q112" s="71">
        <v>0</v>
      </c>
      <c r="R112" s="71">
        <v>0</v>
      </c>
      <c r="S112" s="71">
        <v>0</v>
      </c>
      <c r="T112" s="71">
        <v>0</v>
      </c>
      <c r="U112" s="71">
        <v>0</v>
      </c>
      <c r="V112" s="71">
        <v>0</v>
      </c>
      <c r="X112" s="90">
        <f t="shared" si="67"/>
        <v>0</v>
      </c>
      <c r="Y112" s="90">
        <f t="shared" si="67"/>
        <v>0</v>
      </c>
      <c r="Z112" s="90">
        <f t="shared" si="67"/>
        <v>0</v>
      </c>
      <c r="AA112" s="90">
        <f t="shared" si="65"/>
        <v>0</v>
      </c>
      <c r="AB112" s="90">
        <f t="shared" si="65"/>
        <v>0</v>
      </c>
      <c r="AC112" s="90">
        <f t="shared" si="65"/>
        <v>0</v>
      </c>
      <c r="AE112" s="71">
        <f t="shared" si="68"/>
        <v>0</v>
      </c>
      <c r="AF112" s="71">
        <f t="shared" si="68"/>
        <v>0</v>
      </c>
      <c r="AG112" s="71">
        <f t="shared" si="68"/>
        <v>0</v>
      </c>
      <c r="AH112" s="71">
        <f t="shared" si="66"/>
        <v>0</v>
      </c>
      <c r="AI112" s="71">
        <f t="shared" si="66"/>
        <v>0</v>
      </c>
      <c r="AJ112" s="71">
        <f t="shared" si="66"/>
        <v>0</v>
      </c>
    </row>
    <row r="113" spans="2:36">
      <c r="B113" s="597"/>
      <c r="C113" s="597"/>
      <c r="D113" s="597"/>
      <c r="E113" s="597"/>
      <c r="F113" s="597"/>
      <c r="G113" s="597"/>
      <c r="I113" s="597"/>
      <c r="J113" s="597"/>
      <c r="K113" s="597"/>
      <c r="L113" s="597"/>
      <c r="M113" s="597"/>
      <c r="N113" s="597"/>
      <c r="O113" s="598"/>
      <c r="P113" s="90">
        <v>14</v>
      </c>
      <c r="Q113" s="71">
        <v>0</v>
      </c>
      <c r="R113" s="71">
        <v>0</v>
      </c>
      <c r="S113" s="71">
        <v>0</v>
      </c>
      <c r="T113" s="71">
        <v>0</v>
      </c>
      <c r="U113" s="71">
        <v>0</v>
      </c>
      <c r="V113" s="71">
        <v>0</v>
      </c>
      <c r="X113" s="90">
        <f t="shared" si="67"/>
        <v>0</v>
      </c>
      <c r="Y113" s="90">
        <f t="shared" si="67"/>
        <v>0</v>
      </c>
      <c r="Z113" s="90">
        <f t="shared" si="67"/>
        <v>0</v>
      </c>
      <c r="AA113" s="90">
        <f t="shared" si="65"/>
        <v>0</v>
      </c>
      <c r="AB113" s="90">
        <f t="shared" si="65"/>
        <v>0</v>
      </c>
      <c r="AC113" s="90">
        <f t="shared" si="65"/>
        <v>0</v>
      </c>
      <c r="AE113" s="71">
        <f t="shared" si="68"/>
        <v>0</v>
      </c>
      <c r="AF113" s="71">
        <f t="shared" si="68"/>
        <v>0</v>
      </c>
      <c r="AG113" s="71">
        <f t="shared" si="68"/>
        <v>0</v>
      </c>
      <c r="AH113" s="71">
        <f t="shared" si="66"/>
        <v>0</v>
      </c>
      <c r="AI113" s="71">
        <f t="shared" si="66"/>
        <v>0</v>
      </c>
      <c r="AJ113" s="71">
        <f t="shared" si="66"/>
        <v>0</v>
      </c>
    </row>
    <row r="114" spans="2:36">
      <c r="B114" s="597"/>
      <c r="C114" s="597"/>
      <c r="D114" s="597"/>
      <c r="E114" s="597"/>
      <c r="F114" s="597"/>
      <c r="G114" s="597"/>
      <c r="I114" s="597"/>
      <c r="J114" s="597"/>
      <c r="K114" s="597"/>
      <c r="L114" s="597"/>
      <c r="M114" s="597"/>
      <c r="N114" s="597"/>
      <c r="O114" s="598"/>
      <c r="P114" s="90">
        <v>14</v>
      </c>
      <c r="Q114" s="71">
        <v>0</v>
      </c>
      <c r="R114" s="71">
        <v>0</v>
      </c>
      <c r="S114" s="71">
        <v>0</v>
      </c>
      <c r="T114" s="71">
        <v>0</v>
      </c>
      <c r="U114" s="71">
        <v>0</v>
      </c>
      <c r="V114" s="71">
        <v>0</v>
      </c>
      <c r="X114" s="90">
        <f t="shared" si="67"/>
        <v>0</v>
      </c>
      <c r="Y114" s="90">
        <f t="shared" si="67"/>
        <v>0</v>
      </c>
      <c r="Z114" s="90">
        <f t="shared" si="67"/>
        <v>0</v>
      </c>
      <c r="AA114" s="90">
        <f t="shared" si="65"/>
        <v>0</v>
      </c>
      <c r="AB114" s="90">
        <f t="shared" si="65"/>
        <v>0</v>
      </c>
      <c r="AC114" s="90">
        <f t="shared" si="65"/>
        <v>0</v>
      </c>
      <c r="AE114" s="71">
        <f t="shared" si="68"/>
        <v>0</v>
      </c>
      <c r="AF114" s="71">
        <f t="shared" si="68"/>
        <v>0</v>
      </c>
      <c r="AG114" s="71">
        <f t="shared" si="68"/>
        <v>0</v>
      </c>
      <c r="AH114" s="71">
        <f t="shared" si="66"/>
        <v>0</v>
      </c>
      <c r="AI114" s="71">
        <f t="shared" si="66"/>
        <v>0</v>
      </c>
      <c r="AJ114" s="71">
        <f t="shared" si="66"/>
        <v>0</v>
      </c>
    </row>
    <row r="115" spans="2:36">
      <c r="B115" s="597"/>
      <c r="C115" s="597"/>
      <c r="D115" s="597"/>
      <c r="E115" s="597"/>
      <c r="F115" s="597"/>
      <c r="G115" s="597"/>
      <c r="I115" s="597"/>
      <c r="J115" s="597"/>
      <c r="K115" s="597"/>
      <c r="L115" s="597"/>
      <c r="M115" s="597"/>
      <c r="N115" s="597"/>
      <c r="O115" s="598"/>
      <c r="P115" s="90">
        <v>14</v>
      </c>
      <c r="Q115" s="71">
        <v>0</v>
      </c>
      <c r="R115" s="71">
        <v>0</v>
      </c>
      <c r="S115" s="71">
        <v>0</v>
      </c>
      <c r="T115" s="71">
        <v>0</v>
      </c>
      <c r="U115" s="71">
        <v>0</v>
      </c>
      <c r="V115" s="71">
        <v>0</v>
      </c>
      <c r="X115" s="90">
        <f t="shared" si="67"/>
        <v>0</v>
      </c>
      <c r="Y115" s="90">
        <f t="shared" si="67"/>
        <v>0</v>
      </c>
      <c r="Z115" s="90">
        <f t="shared" si="67"/>
        <v>0</v>
      </c>
      <c r="AA115" s="90">
        <f t="shared" si="65"/>
        <v>0</v>
      </c>
      <c r="AB115" s="90">
        <f t="shared" si="65"/>
        <v>0</v>
      </c>
      <c r="AC115" s="90">
        <f t="shared" si="65"/>
        <v>0</v>
      </c>
      <c r="AE115" s="71">
        <f t="shared" si="68"/>
        <v>0</v>
      </c>
      <c r="AF115" s="71">
        <f t="shared" si="68"/>
        <v>0</v>
      </c>
      <c r="AG115" s="71">
        <f t="shared" si="68"/>
        <v>0</v>
      </c>
      <c r="AH115" s="71">
        <f t="shared" si="66"/>
        <v>0</v>
      </c>
      <c r="AI115" s="71">
        <f t="shared" si="66"/>
        <v>0</v>
      </c>
      <c r="AJ115" s="71">
        <f t="shared" si="66"/>
        <v>0</v>
      </c>
    </row>
    <row r="116" spans="2:36">
      <c r="B116" s="597"/>
      <c r="C116" s="597"/>
      <c r="D116" s="597"/>
      <c r="E116" s="597"/>
      <c r="F116" s="597"/>
      <c r="G116" s="597"/>
      <c r="I116" s="597"/>
      <c r="J116" s="597"/>
      <c r="K116" s="597"/>
      <c r="L116" s="597"/>
      <c r="M116" s="597"/>
      <c r="N116" s="597"/>
      <c r="O116" s="598"/>
      <c r="P116" s="90">
        <v>14</v>
      </c>
      <c r="Q116" s="71">
        <v>0</v>
      </c>
      <c r="R116" s="71">
        <v>0</v>
      </c>
      <c r="S116" s="71">
        <v>0</v>
      </c>
      <c r="T116" s="71">
        <v>0</v>
      </c>
      <c r="U116" s="71">
        <v>0</v>
      </c>
      <c r="V116" s="71">
        <v>0</v>
      </c>
      <c r="X116" s="90">
        <f t="shared" si="67"/>
        <v>0</v>
      </c>
      <c r="Y116" s="90">
        <f t="shared" si="67"/>
        <v>0</v>
      </c>
      <c r="Z116" s="90">
        <f t="shared" si="67"/>
        <v>0</v>
      </c>
      <c r="AA116" s="90">
        <f t="shared" si="65"/>
        <v>0</v>
      </c>
      <c r="AB116" s="90">
        <f t="shared" si="65"/>
        <v>0</v>
      </c>
      <c r="AC116" s="90">
        <f t="shared" si="65"/>
        <v>0</v>
      </c>
      <c r="AE116" s="71">
        <f t="shared" si="68"/>
        <v>0</v>
      </c>
      <c r="AF116" s="71">
        <f t="shared" si="68"/>
        <v>0</v>
      </c>
      <c r="AG116" s="71">
        <f t="shared" si="68"/>
        <v>0</v>
      </c>
      <c r="AH116" s="71">
        <f t="shared" si="66"/>
        <v>0</v>
      </c>
      <c r="AI116" s="71">
        <f t="shared" si="66"/>
        <v>0</v>
      </c>
      <c r="AJ116" s="71">
        <f t="shared" si="66"/>
        <v>0</v>
      </c>
    </row>
    <row r="117" spans="2:36" s="599" customFormat="1">
      <c r="B117" s="600"/>
      <c r="C117" s="600"/>
      <c r="D117" s="600"/>
      <c r="E117" s="600"/>
      <c r="F117" s="600"/>
      <c r="G117" s="600"/>
      <c r="I117" s="600"/>
      <c r="J117" s="600"/>
      <c r="K117" s="600"/>
      <c r="L117" s="600"/>
      <c r="M117" s="600"/>
      <c r="N117" s="600"/>
      <c r="O117" s="601"/>
      <c r="P117" s="599">
        <v>14</v>
      </c>
      <c r="Q117" s="602">
        <v>0</v>
      </c>
      <c r="R117" s="602">
        <v>0</v>
      </c>
      <c r="S117" s="602">
        <v>0</v>
      </c>
      <c r="T117" s="602">
        <v>0</v>
      </c>
      <c r="U117" s="602">
        <v>0</v>
      </c>
      <c r="V117" s="602">
        <v>0</v>
      </c>
      <c r="X117" s="599">
        <f t="shared" si="67"/>
        <v>0</v>
      </c>
      <c r="Y117" s="599">
        <f t="shared" si="67"/>
        <v>0</v>
      </c>
      <c r="Z117" s="599">
        <f t="shared" si="67"/>
        <v>0</v>
      </c>
      <c r="AA117" s="599">
        <f t="shared" si="65"/>
        <v>0</v>
      </c>
      <c r="AB117" s="599">
        <f t="shared" si="65"/>
        <v>0</v>
      </c>
      <c r="AC117" s="599">
        <f t="shared" si="65"/>
        <v>0</v>
      </c>
      <c r="AE117" s="602">
        <f t="shared" si="68"/>
        <v>0</v>
      </c>
      <c r="AF117" s="602">
        <f t="shared" si="68"/>
        <v>0</v>
      </c>
      <c r="AG117" s="602">
        <f t="shared" si="68"/>
        <v>0</v>
      </c>
      <c r="AH117" s="602">
        <f t="shared" si="66"/>
        <v>0</v>
      </c>
      <c r="AI117" s="602">
        <f t="shared" si="66"/>
        <v>0</v>
      </c>
      <c r="AJ117" s="602">
        <f t="shared" si="66"/>
        <v>0</v>
      </c>
    </row>
    <row r="118" spans="2:36" s="605" customFormat="1">
      <c r="B118" s="604"/>
      <c r="C118" s="604"/>
      <c r="D118" s="604"/>
      <c r="E118" s="604"/>
      <c r="F118" s="604"/>
      <c r="G118" s="604"/>
      <c r="I118" s="604"/>
      <c r="J118" s="604"/>
      <c r="K118" s="604"/>
      <c r="L118" s="604"/>
      <c r="M118" s="604"/>
      <c r="N118" s="604"/>
      <c r="O118" s="606"/>
      <c r="P118" s="605">
        <v>15</v>
      </c>
      <c r="Q118" s="607">
        <v>0</v>
      </c>
      <c r="R118" s="607">
        <v>0</v>
      </c>
      <c r="S118" s="607">
        <v>0</v>
      </c>
      <c r="T118" s="607">
        <v>0</v>
      </c>
      <c r="U118" s="607">
        <v>0</v>
      </c>
      <c r="V118" s="607">
        <v>0</v>
      </c>
      <c r="X118" s="605">
        <f t="shared" si="67"/>
        <v>0</v>
      </c>
      <c r="Y118" s="605">
        <f t="shared" si="67"/>
        <v>0</v>
      </c>
      <c r="Z118" s="605">
        <f t="shared" si="67"/>
        <v>0</v>
      </c>
      <c r="AA118" s="605">
        <f t="shared" si="65"/>
        <v>0</v>
      </c>
      <c r="AB118" s="605">
        <f t="shared" si="65"/>
        <v>0</v>
      </c>
      <c r="AC118" s="605">
        <f t="shared" si="65"/>
        <v>0</v>
      </c>
      <c r="AE118" s="607">
        <f t="shared" si="68"/>
        <v>0</v>
      </c>
      <c r="AF118" s="607">
        <f t="shared" si="68"/>
        <v>0</v>
      </c>
      <c r="AG118" s="607">
        <f t="shared" si="68"/>
        <v>0</v>
      </c>
      <c r="AH118" s="607">
        <f t="shared" si="66"/>
        <v>0</v>
      </c>
      <c r="AI118" s="607">
        <f t="shared" si="66"/>
        <v>0</v>
      </c>
      <c r="AJ118" s="607">
        <f t="shared" si="66"/>
        <v>0</v>
      </c>
    </row>
    <row r="119" spans="2:36">
      <c r="B119" s="597"/>
      <c r="C119" s="597"/>
      <c r="D119" s="597"/>
      <c r="E119" s="597"/>
      <c r="F119" s="597"/>
      <c r="G119" s="597"/>
      <c r="I119" s="597"/>
      <c r="J119" s="597"/>
      <c r="K119" s="597"/>
      <c r="L119" s="597"/>
      <c r="M119" s="597"/>
      <c r="N119" s="597"/>
      <c r="O119" s="598"/>
      <c r="P119" s="90">
        <v>15</v>
      </c>
      <c r="Q119" s="71">
        <v>0</v>
      </c>
      <c r="R119" s="71">
        <v>0</v>
      </c>
      <c r="S119" s="71">
        <v>0</v>
      </c>
      <c r="T119" s="71">
        <v>0</v>
      </c>
      <c r="U119" s="71">
        <v>0</v>
      </c>
      <c r="V119" s="71">
        <v>0</v>
      </c>
      <c r="X119" s="90">
        <f t="shared" si="67"/>
        <v>0</v>
      </c>
      <c r="Y119" s="90">
        <f t="shared" si="67"/>
        <v>0</v>
      </c>
      <c r="Z119" s="90">
        <f t="shared" si="67"/>
        <v>0</v>
      </c>
      <c r="AA119" s="90">
        <f t="shared" si="65"/>
        <v>0</v>
      </c>
      <c r="AB119" s="90">
        <f t="shared" si="65"/>
        <v>0</v>
      </c>
      <c r="AC119" s="90">
        <f t="shared" si="65"/>
        <v>0</v>
      </c>
      <c r="AE119" s="71">
        <f t="shared" si="68"/>
        <v>0</v>
      </c>
      <c r="AF119" s="71">
        <f t="shared" si="68"/>
        <v>0</v>
      </c>
      <c r="AG119" s="71">
        <f t="shared" si="68"/>
        <v>0</v>
      </c>
      <c r="AH119" s="71">
        <f t="shared" si="66"/>
        <v>0</v>
      </c>
      <c r="AI119" s="71">
        <f t="shared" si="66"/>
        <v>0</v>
      </c>
      <c r="AJ119" s="71">
        <f t="shared" si="66"/>
        <v>0</v>
      </c>
    </row>
    <row r="120" spans="2:36">
      <c r="B120" s="597"/>
      <c r="C120" s="597"/>
      <c r="D120" s="597"/>
      <c r="E120" s="597"/>
      <c r="F120" s="597"/>
      <c r="G120" s="597"/>
      <c r="I120" s="597"/>
      <c r="J120" s="597"/>
      <c r="K120" s="597"/>
      <c r="L120" s="597"/>
      <c r="M120" s="597"/>
      <c r="N120" s="597"/>
      <c r="O120" s="598"/>
      <c r="P120" s="90">
        <v>15</v>
      </c>
      <c r="Q120" s="71">
        <v>0</v>
      </c>
      <c r="R120" s="71">
        <v>0</v>
      </c>
      <c r="S120" s="71">
        <v>0</v>
      </c>
      <c r="T120" s="71">
        <v>0</v>
      </c>
      <c r="U120" s="71">
        <v>0</v>
      </c>
      <c r="V120" s="71">
        <v>0</v>
      </c>
      <c r="X120" s="90">
        <f t="shared" si="67"/>
        <v>0</v>
      </c>
      <c r="Y120" s="90">
        <f t="shared" si="67"/>
        <v>0</v>
      </c>
      <c r="Z120" s="90">
        <f t="shared" si="67"/>
        <v>0</v>
      </c>
      <c r="AA120" s="90">
        <f t="shared" si="65"/>
        <v>0</v>
      </c>
      <c r="AB120" s="90">
        <f t="shared" si="65"/>
        <v>0</v>
      </c>
      <c r="AC120" s="90">
        <f t="shared" si="65"/>
        <v>0</v>
      </c>
      <c r="AE120" s="71">
        <f t="shared" si="68"/>
        <v>0</v>
      </c>
      <c r="AF120" s="71">
        <f t="shared" si="68"/>
        <v>0</v>
      </c>
      <c r="AG120" s="71">
        <f t="shared" si="68"/>
        <v>0</v>
      </c>
      <c r="AH120" s="71">
        <f t="shared" si="66"/>
        <v>0</v>
      </c>
      <c r="AI120" s="71">
        <f t="shared" si="66"/>
        <v>0</v>
      </c>
      <c r="AJ120" s="71">
        <f t="shared" si="66"/>
        <v>0</v>
      </c>
    </row>
    <row r="121" spans="2:36">
      <c r="B121" s="597"/>
      <c r="C121" s="597"/>
      <c r="D121" s="597"/>
      <c r="E121" s="597"/>
      <c r="F121" s="597"/>
      <c r="G121" s="597"/>
      <c r="I121" s="597"/>
      <c r="J121" s="597"/>
      <c r="K121" s="597"/>
      <c r="L121" s="597"/>
      <c r="M121" s="597"/>
      <c r="N121" s="597"/>
      <c r="O121" s="598"/>
      <c r="P121" s="90">
        <v>15</v>
      </c>
      <c r="Q121" s="71">
        <v>0</v>
      </c>
      <c r="R121" s="71">
        <v>0</v>
      </c>
      <c r="S121" s="71">
        <v>0</v>
      </c>
      <c r="T121" s="71">
        <v>0</v>
      </c>
      <c r="U121" s="71">
        <v>0</v>
      </c>
      <c r="V121" s="71">
        <v>0</v>
      </c>
      <c r="X121" s="90">
        <f t="shared" si="67"/>
        <v>0</v>
      </c>
      <c r="Y121" s="90">
        <f t="shared" si="67"/>
        <v>0</v>
      </c>
      <c r="Z121" s="90">
        <f t="shared" si="67"/>
        <v>0</v>
      </c>
      <c r="AA121" s="90">
        <f t="shared" si="65"/>
        <v>0</v>
      </c>
      <c r="AB121" s="90">
        <f t="shared" si="65"/>
        <v>0</v>
      </c>
      <c r="AC121" s="90">
        <f t="shared" si="65"/>
        <v>0</v>
      </c>
      <c r="AE121" s="71">
        <f t="shared" si="68"/>
        <v>0</v>
      </c>
      <c r="AF121" s="71">
        <f t="shared" si="68"/>
        <v>0</v>
      </c>
      <c r="AG121" s="71">
        <f t="shared" si="68"/>
        <v>0</v>
      </c>
      <c r="AH121" s="71">
        <f t="shared" si="66"/>
        <v>0</v>
      </c>
      <c r="AI121" s="71">
        <f t="shared" si="66"/>
        <v>0</v>
      </c>
      <c r="AJ121" s="71">
        <f t="shared" si="66"/>
        <v>0</v>
      </c>
    </row>
    <row r="122" spans="2:36">
      <c r="B122" s="597"/>
      <c r="C122" s="597"/>
      <c r="D122" s="597"/>
      <c r="E122" s="597"/>
      <c r="F122" s="597"/>
      <c r="G122" s="597"/>
      <c r="I122" s="597"/>
      <c r="J122" s="597"/>
      <c r="K122" s="597"/>
      <c r="L122" s="597"/>
      <c r="M122" s="597"/>
      <c r="N122" s="597"/>
      <c r="O122" s="598"/>
      <c r="P122" s="90">
        <v>15</v>
      </c>
      <c r="Q122" s="71">
        <v>0</v>
      </c>
      <c r="R122" s="71">
        <v>0</v>
      </c>
      <c r="S122" s="71">
        <v>0</v>
      </c>
      <c r="T122" s="71">
        <v>0</v>
      </c>
      <c r="U122" s="71">
        <v>0</v>
      </c>
      <c r="V122" s="71">
        <v>0</v>
      </c>
      <c r="X122" s="90">
        <f t="shared" si="67"/>
        <v>0</v>
      </c>
      <c r="Y122" s="90">
        <f t="shared" si="67"/>
        <v>0</v>
      </c>
      <c r="Z122" s="90">
        <f t="shared" si="67"/>
        <v>0</v>
      </c>
      <c r="AA122" s="90">
        <f t="shared" si="65"/>
        <v>0</v>
      </c>
      <c r="AB122" s="90">
        <f t="shared" si="65"/>
        <v>0</v>
      </c>
      <c r="AC122" s="90">
        <f t="shared" si="65"/>
        <v>0</v>
      </c>
      <c r="AE122" s="71">
        <f t="shared" si="68"/>
        <v>0</v>
      </c>
      <c r="AF122" s="71">
        <f t="shared" si="68"/>
        <v>0</v>
      </c>
      <c r="AG122" s="71">
        <f t="shared" si="68"/>
        <v>0</v>
      </c>
      <c r="AH122" s="71">
        <f t="shared" si="66"/>
        <v>0</v>
      </c>
      <c r="AI122" s="71">
        <f t="shared" si="66"/>
        <v>0</v>
      </c>
      <c r="AJ122" s="71">
        <f t="shared" si="66"/>
        <v>0</v>
      </c>
    </row>
    <row r="123" spans="2:36">
      <c r="B123" s="597"/>
      <c r="C123" s="597"/>
      <c r="D123" s="597"/>
      <c r="E123" s="597"/>
      <c r="F123" s="597"/>
      <c r="G123" s="597"/>
      <c r="I123" s="597"/>
      <c r="J123" s="597"/>
      <c r="K123" s="597"/>
      <c r="L123" s="597"/>
      <c r="M123" s="597"/>
      <c r="N123" s="597"/>
      <c r="O123" s="598"/>
      <c r="P123" s="90">
        <v>15</v>
      </c>
      <c r="Q123" s="71">
        <v>0</v>
      </c>
      <c r="R123" s="71">
        <v>0</v>
      </c>
      <c r="S123" s="71">
        <v>0</v>
      </c>
      <c r="T123" s="71">
        <v>0</v>
      </c>
      <c r="U123" s="71">
        <v>0</v>
      </c>
      <c r="V123" s="71">
        <v>0</v>
      </c>
      <c r="X123" s="90">
        <f t="shared" si="67"/>
        <v>0</v>
      </c>
      <c r="Y123" s="90">
        <f t="shared" si="67"/>
        <v>0</v>
      </c>
      <c r="Z123" s="90">
        <f t="shared" si="67"/>
        <v>0</v>
      </c>
      <c r="AA123" s="90">
        <f t="shared" si="65"/>
        <v>0</v>
      </c>
      <c r="AB123" s="90">
        <f t="shared" si="65"/>
        <v>0</v>
      </c>
      <c r="AC123" s="90">
        <f t="shared" si="65"/>
        <v>0</v>
      </c>
      <c r="AE123" s="71">
        <f t="shared" si="68"/>
        <v>0</v>
      </c>
      <c r="AF123" s="71">
        <f t="shared" si="68"/>
        <v>0</v>
      </c>
      <c r="AG123" s="71">
        <f t="shared" si="68"/>
        <v>0</v>
      </c>
      <c r="AH123" s="71">
        <f t="shared" si="66"/>
        <v>0</v>
      </c>
      <c r="AI123" s="71">
        <f t="shared" si="66"/>
        <v>0</v>
      </c>
      <c r="AJ123" s="71">
        <f t="shared" si="66"/>
        <v>0</v>
      </c>
    </row>
    <row r="124" spans="2:36">
      <c r="B124" s="597"/>
      <c r="C124" s="597"/>
      <c r="D124" s="597"/>
      <c r="E124" s="597"/>
      <c r="F124" s="597"/>
      <c r="G124" s="597"/>
      <c r="I124" s="597"/>
      <c r="J124" s="597"/>
      <c r="K124" s="597"/>
      <c r="L124" s="597"/>
      <c r="M124" s="597"/>
      <c r="N124" s="597"/>
      <c r="O124" s="598"/>
      <c r="P124" s="90">
        <v>15</v>
      </c>
      <c r="Q124" s="71">
        <v>0</v>
      </c>
      <c r="R124" s="71">
        <v>0</v>
      </c>
      <c r="S124" s="71">
        <v>0</v>
      </c>
      <c r="T124" s="71">
        <v>0</v>
      </c>
      <c r="U124" s="71">
        <v>0</v>
      </c>
      <c r="V124" s="71">
        <v>0</v>
      </c>
      <c r="X124" s="90">
        <f t="shared" si="67"/>
        <v>0</v>
      </c>
      <c r="Y124" s="90">
        <f t="shared" si="67"/>
        <v>0</v>
      </c>
      <c r="Z124" s="90">
        <f t="shared" si="67"/>
        <v>0</v>
      </c>
      <c r="AA124" s="90">
        <f t="shared" si="65"/>
        <v>0</v>
      </c>
      <c r="AB124" s="90">
        <f t="shared" si="65"/>
        <v>0</v>
      </c>
      <c r="AC124" s="90">
        <f t="shared" si="65"/>
        <v>0</v>
      </c>
      <c r="AE124" s="71">
        <f t="shared" si="68"/>
        <v>0</v>
      </c>
      <c r="AF124" s="71">
        <f t="shared" si="68"/>
        <v>0</v>
      </c>
      <c r="AG124" s="71">
        <f t="shared" si="68"/>
        <v>0</v>
      </c>
      <c r="AH124" s="71">
        <f t="shared" si="66"/>
        <v>0</v>
      </c>
      <c r="AI124" s="71">
        <f t="shared" si="66"/>
        <v>0</v>
      </c>
      <c r="AJ124" s="71">
        <f t="shared" si="66"/>
        <v>0</v>
      </c>
    </row>
    <row r="125" spans="2:36" s="599" customFormat="1">
      <c r="B125" s="600"/>
      <c r="C125" s="600"/>
      <c r="D125" s="600"/>
      <c r="E125" s="600"/>
      <c r="F125" s="600"/>
      <c r="G125" s="600"/>
      <c r="I125" s="600"/>
      <c r="J125" s="600"/>
      <c r="K125" s="600"/>
      <c r="L125" s="600"/>
      <c r="M125" s="600"/>
      <c r="N125" s="600"/>
      <c r="O125" s="601"/>
      <c r="P125" s="599">
        <v>15</v>
      </c>
      <c r="Q125" s="602">
        <v>0</v>
      </c>
      <c r="R125" s="602">
        <v>0</v>
      </c>
      <c r="S125" s="602">
        <v>0</v>
      </c>
      <c r="T125" s="602">
        <v>0</v>
      </c>
      <c r="U125" s="602">
        <v>0</v>
      </c>
      <c r="V125" s="602">
        <v>0</v>
      </c>
      <c r="X125" s="599">
        <f t="shared" si="67"/>
        <v>0</v>
      </c>
      <c r="Y125" s="599">
        <f t="shared" si="67"/>
        <v>0</v>
      </c>
      <c r="Z125" s="599">
        <f t="shared" si="67"/>
        <v>0</v>
      </c>
      <c r="AA125" s="599">
        <f t="shared" si="65"/>
        <v>0</v>
      </c>
      <c r="AB125" s="599">
        <f t="shared" si="65"/>
        <v>0</v>
      </c>
      <c r="AC125" s="599">
        <f t="shared" si="65"/>
        <v>0</v>
      </c>
      <c r="AE125" s="602">
        <f t="shared" si="68"/>
        <v>0</v>
      </c>
      <c r="AF125" s="602">
        <f t="shared" si="68"/>
        <v>0</v>
      </c>
      <c r="AG125" s="602">
        <f t="shared" si="68"/>
        <v>0</v>
      </c>
      <c r="AH125" s="602">
        <f t="shared" si="66"/>
        <v>0</v>
      </c>
      <c r="AI125" s="602">
        <f t="shared" si="66"/>
        <v>0</v>
      </c>
      <c r="AJ125" s="602">
        <f t="shared" si="66"/>
        <v>0</v>
      </c>
    </row>
    <row r="126" spans="2:36" s="605" customFormat="1">
      <c r="B126" s="604"/>
      <c r="C126" s="604"/>
      <c r="D126" s="604"/>
      <c r="E126" s="604"/>
      <c r="F126" s="604"/>
      <c r="G126" s="604"/>
      <c r="I126" s="604"/>
      <c r="J126" s="604"/>
      <c r="K126" s="604"/>
      <c r="L126" s="604"/>
      <c r="M126" s="604"/>
      <c r="N126" s="604"/>
      <c r="O126" s="606"/>
      <c r="P126" s="605">
        <v>16</v>
      </c>
      <c r="Q126" s="607">
        <v>0</v>
      </c>
      <c r="R126" s="607">
        <v>28672</v>
      </c>
      <c r="S126" s="607">
        <v>61513</v>
      </c>
      <c r="T126" s="607">
        <v>152029</v>
      </c>
      <c r="U126" s="607">
        <v>195699</v>
      </c>
      <c r="V126" s="607">
        <v>0</v>
      </c>
      <c r="X126" s="605">
        <f t="shared" si="67"/>
        <v>0</v>
      </c>
      <c r="Y126" s="605">
        <f t="shared" si="67"/>
        <v>0</v>
      </c>
      <c r="Z126" s="605">
        <f t="shared" si="67"/>
        <v>0</v>
      </c>
      <c r="AA126" s="605">
        <f t="shared" si="65"/>
        <v>0</v>
      </c>
      <c r="AB126" s="605">
        <f t="shared" si="65"/>
        <v>0</v>
      </c>
      <c r="AC126" s="605">
        <f t="shared" si="65"/>
        <v>0</v>
      </c>
      <c r="AE126" s="607">
        <f t="shared" si="68"/>
        <v>0</v>
      </c>
      <c r="AF126" s="607">
        <f t="shared" si="68"/>
        <v>0</v>
      </c>
      <c r="AG126" s="607">
        <f t="shared" si="68"/>
        <v>0</v>
      </c>
      <c r="AH126" s="607">
        <f t="shared" si="66"/>
        <v>0</v>
      </c>
      <c r="AI126" s="607">
        <f t="shared" si="66"/>
        <v>0</v>
      </c>
      <c r="AJ126" s="607">
        <f t="shared" si="66"/>
        <v>0</v>
      </c>
    </row>
    <row r="127" spans="2:36">
      <c r="B127" s="597"/>
      <c r="C127" s="597"/>
      <c r="D127" s="597"/>
      <c r="E127" s="597"/>
      <c r="F127" s="597"/>
      <c r="G127" s="597"/>
      <c r="I127" s="597"/>
      <c r="J127" s="597"/>
      <c r="K127" s="597"/>
      <c r="L127" s="597"/>
      <c r="M127" s="597"/>
      <c r="N127" s="597"/>
      <c r="O127" s="598"/>
      <c r="P127" s="90">
        <v>16</v>
      </c>
      <c r="Q127" s="71">
        <v>0</v>
      </c>
      <c r="R127" s="71">
        <v>28672</v>
      </c>
      <c r="S127" s="71">
        <v>61513</v>
      </c>
      <c r="T127" s="71">
        <v>152029</v>
      </c>
      <c r="U127" s="71">
        <v>195699</v>
      </c>
      <c r="V127" s="71">
        <v>0</v>
      </c>
      <c r="X127" s="90">
        <f t="shared" si="67"/>
        <v>0</v>
      </c>
      <c r="Y127" s="90">
        <f t="shared" si="67"/>
        <v>0</v>
      </c>
      <c r="Z127" s="90">
        <f t="shared" si="67"/>
        <v>0</v>
      </c>
      <c r="AA127" s="90">
        <f t="shared" si="65"/>
        <v>0</v>
      </c>
      <c r="AB127" s="90">
        <f t="shared" si="65"/>
        <v>0</v>
      </c>
      <c r="AC127" s="90">
        <f t="shared" si="65"/>
        <v>0</v>
      </c>
      <c r="AE127" s="71">
        <f t="shared" si="68"/>
        <v>0</v>
      </c>
      <c r="AF127" s="71">
        <f t="shared" si="68"/>
        <v>0</v>
      </c>
      <c r="AG127" s="71">
        <f t="shared" si="68"/>
        <v>0</v>
      </c>
      <c r="AH127" s="71">
        <f t="shared" si="66"/>
        <v>0</v>
      </c>
      <c r="AI127" s="71">
        <f t="shared" si="66"/>
        <v>0</v>
      </c>
      <c r="AJ127" s="71">
        <f t="shared" si="66"/>
        <v>0</v>
      </c>
    </row>
    <row r="128" spans="2:36">
      <c r="B128" s="597"/>
      <c r="C128" s="597"/>
      <c r="D128" s="597"/>
      <c r="E128" s="597"/>
      <c r="F128" s="597"/>
      <c r="G128" s="597"/>
      <c r="I128" s="597"/>
      <c r="J128" s="597"/>
      <c r="K128" s="597"/>
      <c r="L128" s="597"/>
      <c r="M128" s="597"/>
      <c r="N128" s="597"/>
      <c r="O128" s="598"/>
      <c r="P128" s="90">
        <v>16</v>
      </c>
      <c r="Q128" s="71">
        <v>0</v>
      </c>
      <c r="R128" s="71">
        <v>28672</v>
      </c>
      <c r="S128" s="71">
        <v>61513</v>
      </c>
      <c r="T128" s="71">
        <v>152029</v>
      </c>
      <c r="U128" s="71">
        <v>195699</v>
      </c>
      <c r="V128" s="71">
        <v>0</v>
      </c>
      <c r="X128" s="90">
        <f t="shared" si="67"/>
        <v>0</v>
      </c>
      <c r="Y128" s="90">
        <f t="shared" si="67"/>
        <v>0</v>
      </c>
      <c r="Z128" s="90">
        <f t="shared" si="67"/>
        <v>0</v>
      </c>
      <c r="AA128" s="90">
        <f t="shared" si="67"/>
        <v>0</v>
      </c>
      <c r="AB128" s="90">
        <f t="shared" si="67"/>
        <v>0</v>
      </c>
      <c r="AC128" s="90">
        <f t="shared" si="67"/>
        <v>0</v>
      </c>
      <c r="AE128" s="71">
        <f t="shared" si="68"/>
        <v>0</v>
      </c>
      <c r="AF128" s="71">
        <f t="shared" si="68"/>
        <v>0</v>
      </c>
      <c r="AG128" s="71">
        <f t="shared" si="68"/>
        <v>0</v>
      </c>
      <c r="AH128" s="71">
        <f t="shared" si="68"/>
        <v>0</v>
      </c>
      <c r="AI128" s="71">
        <f t="shared" si="68"/>
        <v>0</v>
      </c>
      <c r="AJ128" s="71">
        <f t="shared" si="68"/>
        <v>0</v>
      </c>
    </row>
    <row r="129" spans="2:36">
      <c r="B129" s="597"/>
      <c r="C129" s="597"/>
      <c r="D129" s="597"/>
      <c r="E129" s="597"/>
      <c r="F129" s="597"/>
      <c r="G129" s="597"/>
      <c r="I129" s="597"/>
      <c r="J129" s="597"/>
      <c r="K129" s="597"/>
      <c r="L129" s="597"/>
      <c r="M129" s="597"/>
      <c r="N129" s="597"/>
      <c r="O129" s="598"/>
      <c r="P129" s="90">
        <v>16</v>
      </c>
      <c r="Q129" s="71">
        <v>0</v>
      </c>
      <c r="R129" s="71">
        <v>28672</v>
      </c>
      <c r="S129" s="71">
        <v>61513</v>
      </c>
      <c r="T129" s="71">
        <v>152029</v>
      </c>
      <c r="U129" s="71">
        <v>195699</v>
      </c>
      <c r="V129" s="71">
        <v>0</v>
      </c>
      <c r="X129" s="90">
        <f t="shared" ref="X129:AC171" si="85">B129*Q129</f>
        <v>0</v>
      </c>
      <c r="Y129" s="90">
        <f t="shared" si="85"/>
        <v>0</v>
      </c>
      <c r="Z129" s="90">
        <f t="shared" si="85"/>
        <v>0</v>
      </c>
      <c r="AA129" s="90">
        <f t="shared" si="85"/>
        <v>0</v>
      </c>
      <c r="AB129" s="90">
        <f t="shared" si="85"/>
        <v>0</v>
      </c>
      <c r="AC129" s="90">
        <f t="shared" si="85"/>
        <v>0</v>
      </c>
      <c r="AE129" s="71">
        <f t="shared" ref="AE129:AJ171" si="86">I129*Q129</f>
        <v>0</v>
      </c>
      <c r="AF129" s="71">
        <f t="shared" si="86"/>
        <v>0</v>
      </c>
      <c r="AG129" s="71">
        <f t="shared" si="86"/>
        <v>0</v>
      </c>
      <c r="AH129" s="71">
        <f t="shared" si="86"/>
        <v>0</v>
      </c>
      <c r="AI129" s="71">
        <f t="shared" si="86"/>
        <v>0</v>
      </c>
      <c r="AJ129" s="71">
        <f t="shared" si="86"/>
        <v>0</v>
      </c>
    </row>
    <row r="130" spans="2:36">
      <c r="B130" s="597"/>
      <c r="C130" s="597"/>
      <c r="D130" s="597"/>
      <c r="E130" s="597"/>
      <c r="F130" s="597"/>
      <c r="G130" s="597"/>
      <c r="I130" s="597"/>
      <c r="J130" s="597"/>
      <c r="K130" s="597"/>
      <c r="L130" s="597"/>
      <c r="M130" s="597"/>
      <c r="N130" s="597"/>
      <c r="O130" s="598"/>
      <c r="P130" s="90">
        <v>16</v>
      </c>
      <c r="Q130" s="71">
        <v>0</v>
      </c>
      <c r="R130" s="71">
        <v>28672</v>
      </c>
      <c r="S130" s="71">
        <v>61513</v>
      </c>
      <c r="T130" s="71">
        <v>152029</v>
      </c>
      <c r="U130" s="71">
        <v>195699</v>
      </c>
      <c r="V130" s="71">
        <v>0</v>
      </c>
      <c r="X130" s="90">
        <f t="shared" si="85"/>
        <v>0</v>
      </c>
      <c r="Y130" s="90">
        <f t="shared" si="85"/>
        <v>0</v>
      </c>
      <c r="Z130" s="90">
        <f t="shared" si="85"/>
        <v>0</v>
      </c>
      <c r="AA130" s="90">
        <f t="shared" si="85"/>
        <v>0</v>
      </c>
      <c r="AB130" s="90">
        <f t="shared" si="85"/>
        <v>0</v>
      </c>
      <c r="AC130" s="90">
        <f t="shared" si="85"/>
        <v>0</v>
      </c>
      <c r="AE130" s="71">
        <f t="shared" si="86"/>
        <v>0</v>
      </c>
      <c r="AF130" s="71">
        <f t="shared" si="86"/>
        <v>0</v>
      </c>
      <c r="AG130" s="71">
        <f t="shared" si="86"/>
        <v>0</v>
      </c>
      <c r="AH130" s="71">
        <f t="shared" si="86"/>
        <v>0</v>
      </c>
      <c r="AI130" s="71">
        <f t="shared" si="86"/>
        <v>0</v>
      </c>
      <c r="AJ130" s="71">
        <f t="shared" si="86"/>
        <v>0</v>
      </c>
    </row>
    <row r="131" spans="2:36">
      <c r="B131" s="597"/>
      <c r="C131" s="597"/>
      <c r="D131" s="597"/>
      <c r="E131" s="597"/>
      <c r="F131" s="597"/>
      <c r="G131" s="597"/>
      <c r="I131" s="597"/>
      <c r="J131" s="597"/>
      <c r="K131" s="597"/>
      <c r="L131" s="597"/>
      <c r="M131" s="597"/>
      <c r="N131" s="597"/>
      <c r="O131" s="598"/>
      <c r="P131" s="90">
        <v>16</v>
      </c>
      <c r="Q131" s="71">
        <v>0</v>
      </c>
      <c r="R131" s="71">
        <v>28672</v>
      </c>
      <c r="S131" s="71">
        <v>61513</v>
      </c>
      <c r="T131" s="71">
        <v>152029</v>
      </c>
      <c r="U131" s="71">
        <v>195699</v>
      </c>
      <c r="V131" s="71">
        <v>0</v>
      </c>
      <c r="X131" s="90">
        <f t="shared" si="85"/>
        <v>0</v>
      </c>
      <c r="Y131" s="90">
        <f t="shared" si="85"/>
        <v>0</v>
      </c>
      <c r="Z131" s="90">
        <f t="shared" si="85"/>
        <v>0</v>
      </c>
      <c r="AA131" s="90">
        <f t="shared" si="85"/>
        <v>0</v>
      </c>
      <c r="AB131" s="90">
        <f t="shared" si="85"/>
        <v>0</v>
      </c>
      <c r="AC131" s="90">
        <f t="shared" si="85"/>
        <v>0</v>
      </c>
      <c r="AE131" s="71">
        <f t="shared" si="86"/>
        <v>0</v>
      </c>
      <c r="AF131" s="71">
        <f t="shared" si="86"/>
        <v>0</v>
      </c>
      <c r="AG131" s="71">
        <f t="shared" si="86"/>
        <v>0</v>
      </c>
      <c r="AH131" s="71">
        <f t="shared" si="86"/>
        <v>0</v>
      </c>
      <c r="AI131" s="71">
        <f t="shared" si="86"/>
        <v>0</v>
      </c>
      <c r="AJ131" s="71">
        <f t="shared" si="86"/>
        <v>0</v>
      </c>
    </row>
    <row r="132" spans="2:36">
      <c r="B132" s="597"/>
      <c r="C132" s="597"/>
      <c r="D132" s="597"/>
      <c r="E132" s="597"/>
      <c r="F132" s="597"/>
      <c r="G132" s="597"/>
      <c r="I132" s="597"/>
      <c r="J132" s="597"/>
      <c r="K132" s="597"/>
      <c r="L132" s="597"/>
      <c r="M132" s="597"/>
      <c r="N132" s="597"/>
      <c r="O132" s="598"/>
      <c r="P132" s="90">
        <v>16</v>
      </c>
      <c r="Q132" s="71">
        <v>0</v>
      </c>
      <c r="R132" s="71">
        <v>28672</v>
      </c>
      <c r="S132" s="71">
        <v>61513</v>
      </c>
      <c r="T132" s="71">
        <v>152029</v>
      </c>
      <c r="U132" s="71">
        <v>195699</v>
      </c>
      <c r="V132" s="71">
        <v>0</v>
      </c>
      <c r="X132" s="90">
        <f t="shared" si="85"/>
        <v>0</v>
      </c>
      <c r="Y132" s="90">
        <f t="shared" si="85"/>
        <v>0</v>
      </c>
      <c r="Z132" s="90">
        <f t="shared" si="85"/>
        <v>0</v>
      </c>
      <c r="AA132" s="90">
        <f t="shared" si="85"/>
        <v>0</v>
      </c>
      <c r="AB132" s="90">
        <f t="shared" si="85"/>
        <v>0</v>
      </c>
      <c r="AC132" s="90">
        <f t="shared" si="85"/>
        <v>0</v>
      </c>
      <c r="AE132" s="71">
        <f t="shared" si="86"/>
        <v>0</v>
      </c>
      <c r="AF132" s="71">
        <f t="shared" si="86"/>
        <v>0</v>
      </c>
      <c r="AG132" s="71">
        <f t="shared" si="86"/>
        <v>0</v>
      </c>
      <c r="AH132" s="71">
        <f t="shared" si="86"/>
        <v>0</v>
      </c>
      <c r="AI132" s="71">
        <f t="shared" si="86"/>
        <v>0</v>
      </c>
      <c r="AJ132" s="71">
        <f t="shared" si="86"/>
        <v>0</v>
      </c>
    </row>
    <row r="133" spans="2:36" s="599" customFormat="1">
      <c r="B133" s="600"/>
      <c r="C133" s="600"/>
      <c r="D133" s="600"/>
      <c r="E133" s="600"/>
      <c r="F133" s="600"/>
      <c r="G133" s="600"/>
      <c r="I133" s="600"/>
      <c r="J133" s="600"/>
      <c r="K133" s="600"/>
      <c r="L133" s="600"/>
      <c r="M133" s="600"/>
      <c r="N133" s="600"/>
      <c r="O133" s="601"/>
      <c r="P133" s="599">
        <v>16</v>
      </c>
      <c r="Q133" s="602">
        <v>0</v>
      </c>
      <c r="R133" s="602">
        <v>28672</v>
      </c>
      <c r="S133" s="602">
        <v>61513</v>
      </c>
      <c r="T133" s="602">
        <v>152029</v>
      </c>
      <c r="U133" s="602">
        <v>195699</v>
      </c>
      <c r="V133" s="602">
        <v>0</v>
      </c>
      <c r="X133" s="599">
        <f t="shared" si="85"/>
        <v>0</v>
      </c>
      <c r="Y133" s="599">
        <f t="shared" si="85"/>
        <v>0</v>
      </c>
      <c r="Z133" s="599">
        <f t="shared" si="85"/>
        <v>0</v>
      </c>
      <c r="AA133" s="599">
        <f t="shared" si="85"/>
        <v>0</v>
      </c>
      <c r="AB133" s="599">
        <f t="shared" si="85"/>
        <v>0</v>
      </c>
      <c r="AC133" s="599">
        <f t="shared" si="85"/>
        <v>0</v>
      </c>
      <c r="AE133" s="602">
        <f t="shared" si="86"/>
        <v>0</v>
      </c>
      <c r="AF133" s="602">
        <f t="shared" si="86"/>
        <v>0</v>
      </c>
      <c r="AG133" s="602">
        <f t="shared" si="86"/>
        <v>0</v>
      </c>
      <c r="AH133" s="602">
        <f t="shared" si="86"/>
        <v>0</v>
      </c>
      <c r="AI133" s="602">
        <f t="shared" si="86"/>
        <v>0</v>
      </c>
      <c r="AJ133" s="602">
        <f t="shared" si="86"/>
        <v>0</v>
      </c>
    </row>
    <row r="134" spans="2:36" s="605" customFormat="1">
      <c r="B134" s="604"/>
      <c r="C134" s="604"/>
      <c r="D134" s="604"/>
      <c r="E134" s="604"/>
      <c r="F134" s="604"/>
      <c r="G134" s="604"/>
      <c r="I134" s="604"/>
      <c r="J134" s="604"/>
      <c r="K134" s="604"/>
      <c r="L134" s="604"/>
      <c r="M134" s="604"/>
      <c r="N134" s="604"/>
      <c r="O134" s="606"/>
      <c r="P134" s="605">
        <v>17</v>
      </c>
      <c r="Q134" s="607">
        <v>0</v>
      </c>
      <c r="R134" s="607">
        <v>1259</v>
      </c>
      <c r="S134" s="607">
        <v>19443</v>
      </c>
      <c r="T134" s="607">
        <v>69410</v>
      </c>
      <c r="U134" s="607">
        <v>148454</v>
      </c>
      <c r="V134" s="607">
        <v>0</v>
      </c>
      <c r="X134" s="605">
        <f t="shared" si="85"/>
        <v>0</v>
      </c>
      <c r="Y134" s="605">
        <f t="shared" si="85"/>
        <v>0</v>
      </c>
      <c r="Z134" s="605">
        <f t="shared" si="85"/>
        <v>0</v>
      </c>
      <c r="AA134" s="605">
        <f t="shared" si="85"/>
        <v>0</v>
      </c>
      <c r="AB134" s="605">
        <f t="shared" si="85"/>
        <v>0</v>
      </c>
      <c r="AC134" s="605">
        <f t="shared" si="85"/>
        <v>0</v>
      </c>
      <c r="AE134" s="607">
        <f t="shared" si="86"/>
        <v>0</v>
      </c>
      <c r="AF134" s="607">
        <f t="shared" si="86"/>
        <v>0</v>
      </c>
      <c r="AG134" s="607">
        <f t="shared" si="86"/>
        <v>0</v>
      </c>
      <c r="AH134" s="607">
        <f t="shared" si="86"/>
        <v>0</v>
      </c>
      <c r="AI134" s="607">
        <f t="shared" si="86"/>
        <v>0</v>
      </c>
      <c r="AJ134" s="607">
        <f t="shared" si="86"/>
        <v>0</v>
      </c>
    </row>
    <row r="135" spans="2:36">
      <c r="B135" s="597"/>
      <c r="C135" s="597"/>
      <c r="D135" s="597"/>
      <c r="E135" s="597"/>
      <c r="F135" s="597"/>
      <c r="G135" s="597"/>
      <c r="I135" s="597"/>
      <c r="J135" s="597"/>
      <c r="K135" s="597"/>
      <c r="L135" s="597"/>
      <c r="M135" s="597"/>
      <c r="N135" s="597"/>
      <c r="O135" s="598"/>
      <c r="P135" s="90">
        <v>17</v>
      </c>
      <c r="Q135" s="71">
        <v>0</v>
      </c>
      <c r="R135" s="71">
        <v>1259</v>
      </c>
      <c r="S135" s="71">
        <v>19443</v>
      </c>
      <c r="T135" s="71">
        <v>69410</v>
      </c>
      <c r="U135" s="71">
        <v>148454</v>
      </c>
      <c r="V135" s="71">
        <v>0</v>
      </c>
      <c r="X135" s="90">
        <f t="shared" si="85"/>
        <v>0</v>
      </c>
      <c r="Y135" s="90">
        <f t="shared" si="85"/>
        <v>0</v>
      </c>
      <c r="Z135" s="90">
        <f t="shared" si="85"/>
        <v>0</v>
      </c>
      <c r="AA135" s="90">
        <f t="shared" si="85"/>
        <v>0</v>
      </c>
      <c r="AB135" s="90">
        <f t="shared" si="85"/>
        <v>0</v>
      </c>
      <c r="AC135" s="90">
        <f t="shared" si="85"/>
        <v>0</v>
      </c>
      <c r="AE135" s="71">
        <f t="shared" si="86"/>
        <v>0</v>
      </c>
      <c r="AF135" s="71">
        <f t="shared" si="86"/>
        <v>0</v>
      </c>
      <c r="AG135" s="71">
        <f t="shared" si="86"/>
        <v>0</v>
      </c>
      <c r="AH135" s="71">
        <f t="shared" si="86"/>
        <v>0</v>
      </c>
      <c r="AI135" s="71">
        <f t="shared" si="86"/>
        <v>0</v>
      </c>
      <c r="AJ135" s="71">
        <f t="shared" si="86"/>
        <v>0</v>
      </c>
    </row>
    <row r="136" spans="2:36">
      <c r="B136" s="597"/>
      <c r="C136" s="597"/>
      <c r="D136" s="597"/>
      <c r="E136" s="597"/>
      <c r="F136" s="597"/>
      <c r="G136" s="597"/>
      <c r="I136" s="597"/>
      <c r="J136" s="597"/>
      <c r="K136" s="597"/>
      <c r="L136" s="597"/>
      <c r="M136" s="597"/>
      <c r="N136" s="597"/>
      <c r="O136" s="598"/>
      <c r="P136" s="90">
        <v>17</v>
      </c>
      <c r="Q136" s="71">
        <v>0</v>
      </c>
      <c r="R136" s="71">
        <v>1259</v>
      </c>
      <c r="S136" s="71">
        <v>19443</v>
      </c>
      <c r="T136" s="71">
        <v>69410</v>
      </c>
      <c r="U136" s="71">
        <v>148454</v>
      </c>
      <c r="V136" s="71">
        <v>0</v>
      </c>
      <c r="X136" s="90">
        <f t="shared" si="85"/>
        <v>0</v>
      </c>
      <c r="Y136" s="90">
        <f t="shared" si="85"/>
        <v>0</v>
      </c>
      <c r="Z136" s="90">
        <f t="shared" si="85"/>
        <v>0</v>
      </c>
      <c r="AA136" s="90">
        <f t="shared" si="85"/>
        <v>0</v>
      </c>
      <c r="AB136" s="90">
        <f t="shared" si="85"/>
        <v>0</v>
      </c>
      <c r="AC136" s="90">
        <f t="shared" si="85"/>
        <v>0</v>
      </c>
      <c r="AE136" s="71">
        <f t="shared" si="86"/>
        <v>0</v>
      </c>
      <c r="AF136" s="71">
        <f t="shared" si="86"/>
        <v>0</v>
      </c>
      <c r="AG136" s="71">
        <f t="shared" si="86"/>
        <v>0</v>
      </c>
      <c r="AH136" s="71">
        <f t="shared" si="86"/>
        <v>0</v>
      </c>
      <c r="AI136" s="71">
        <f t="shared" si="86"/>
        <v>0</v>
      </c>
      <c r="AJ136" s="71">
        <f t="shared" si="86"/>
        <v>0</v>
      </c>
    </row>
    <row r="137" spans="2:36">
      <c r="B137" s="597"/>
      <c r="C137" s="597"/>
      <c r="D137" s="597"/>
      <c r="E137" s="597"/>
      <c r="F137" s="597"/>
      <c r="G137" s="597"/>
      <c r="I137" s="597"/>
      <c r="J137" s="597"/>
      <c r="K137" s="597"/>
      <c r="L137" s="597"/>
      <c r="M137" s="597"/>
      <c r="N137" s="597"/>
      <c r="O137" s="598"/>
      <c r="P137" s="90">
        <v>17</v>
      </c>
      <c r="Q137" s="71">
        <v>0</v>
      </c>
      <c r="R137" s="71">
        <v>1259</v>
      </c>
      <c r="S137" s="71">
        <v>19443</v>
      </c>
      <c r="T137" s="71">
        <v>69410</v>
      </c>
      <c r="U137" s="71">
        <v>148454</v>
      </c>
      <c r="V137" s="71">
        <v>0</v>
      </c>
      <c r="X137" s="90">
        <f t="shared" si="85"/>
        <v>0</v>
      </c>
      <c r="Y137" s="90">
        <f t="shared" si="85"/>
        <v>0</v>
      </c>
      <c r="Z137" s="90">
        <f t="shared" si="85"/>
        <v>0</v>
      </c>
      <c r="AA137" s="90">
        <f t="shared" si="85"/>
        <v>0</v>
      </c>
      <c r="AB137" s="90">
        <f t="shared" si="85"/>
        <v>0</v>
      </c>
      <c r="AC137" s="90">
        <f t="shared" si="85"/>
        <v>0</v>
      </c>
      <c r="AE137" s="71">
        <f t="shared" si="86"/>
        <v>0</v>
      </c>
      <c r="AF137" s="71">
        <f t="shared" si="86"/>
        <v>0</v>
      </c>
      <c r="AG137" s="71">
        <f t="shared" si="86"/>
        <v>0</v>
      </c>
      <c r="AH137" s="71">
        <f t="shared" si="86"/>
        <v>0</v>
      </c>
      <c r="AI137" s="71">
        <f t="shared" si="86"/>
        <v>0</v>
      </c>
      <c r="AJ137" s="71">
        <f t="shared" si="86"/>
        <v>0</v>
      </c>
    </row>
    <row r="138" spans="2:36">
      <c r="B138" s="597"/>
      <c r="C138" s="597"/>
      <c r="D138" s="597"/>
      <c r="E138" s="597"/>
      <c r="F138" s="597"/>
      <c r="G138" s="597"/>
      <c r="I138" s="597"/>
      <c r="J138" s="597"/>
      <c r="K138" s="597"/>
      <c r="L138" s="597"/>
      <c r="M138" s="597"/>
      <c r="N138" s="597"/>
      <c r="O138" s="598"/>
      <c r="P138" s="90">
        <v>17</v>
      </c>
      <c r="Q138" s="71">
        <v>0</v>
      </c>
      <c r="R138" s="71">
        <v>1259</v>
      </c>
      <c r="S138" s="71">
        <v>19443</v>
      </c>
      <c r="T138" s="71">
        <v>69410</v>
      </c>
      <c r="U138" s="71">
        <v>148454</v>
      </c>
      <c r="V138" s="71">
        <v>0</v>
      </c>
      <c r="X138" s="90">
        <f t="shared" si="85"/>
        <v>0</v>
      </c>
      <c r="Y138" s="90">
        <f t="shared" si="85"/>
        <v>0</v>
      </c>
      <c r="Z138" s="90">
        <f t="shared" si="85"/>
        <v>0</v>
      </c>
      <c r="AA138" s="90">
        <f t="shared" si="85"/>
        <v>0</v>
      </c>
      <c r="AB138" s="90">
        <f t="shared" si="85"/>
        <v>0</v>
      </c>
      <c r="AC138" s="90">
        <f t="shared" si="85"/>
        <v>0</v>
      </c>
      <c r="AE138" s="71">
        <f t="shared" si="86"/>
        <v>0</v>
      </c>
      <c r="AF138" s="71">
        <f t="shared" si="86"/>
        <v>0</v>
      </c>
      <c r="AG138" s="71">
        <f t="shared" si="86"/>
        <v>0</v>
      </c>
      <c r="AH138" s="71">
        <f t="shared" si="86"/>
        <v>0</v>
      </c>
      <c r="AI138" s="71">
        <f t="shared" si="86"/>
        <v>0</v>
      </c>
      <c r="AJ138" s="71">
        <f t="shared" si="86"/>
        <v>0</v>
      </c>
    </row>
    <row r="139" spans="2:36">
      <c r="B139" s="597"/>
      <c r="C139" s="597"/>
      <c r="D139" s="597"/>
      <c r="E139" s="597"/>
      <c r="F139" s="597"/>
      <c r="G139" s="597"/>
      <c r="I139" s="597"/>
      <c r="J139" s="597"/>
      <c r="K139" s="597"/>
      <c r="L139" s="597"/>
      <c r="M139" s="597"/>
      <c r="N139" s="597"/>
      <c r="O139" s="598"/>
      <c r="P139" s="90">
        <v>17</v>
      </c>
      <c r="Q139" s="71">
        <v>0</v>
      </c>
      <c r="R139" s="71">
        <v>1259</v>
      </c>
      <c r="S139" s="71">
        <v>19443</v>
      </c>
      <c r="T139" s="71">
        <v>69410</v>
      </c>
      <c r="U139" s="71">
        <v>148454</v>
      </c>
      <c r="V139" s="71">
        <v>0</v>
      </c>
      <c r="X139" s="90">
        <f t="shared" si="85"/>
        <v>0</v>
      </c>
      <c r="Y139" s="90">
        <f t="shared" si="85"/>
        <v>0</v>
      </c>
      <c r="Z139" s="90">
        <f t="shared" si="85"/>
        <v>0</v>
      </c>
      <c r="AA139" s="90">
        <f t="shared" si="85"/>
        <v>0</v>
      </c>
      <c r="AB139" s="90">
        <f t="shared" si="85"/>
        <v>0</v>
      </c>
      <c r="AC139" s="90">
        <f t="shared" si="85"/>
        <v>0</v>
      </c>
      <c r="AE139" s="71">
        <f t="shared" si="86"/>
        <v>0</v>
      </c>
      <c r="AF139" s="71">
        <f t="shared" si="86"/>
        <v>0</v>
      </c>
      <c r="AG139" s="71">
        <f t="shared" si="86"/>
        <v>0</v>
      </c>
      <c r="AH139" s="71">
        <f t="shared" si="86"/>
        <v>0</v>
      </c>
      <c r="AI139" s="71">
        <f t="shared" si="86"/>
        <v>0</v>
      </c>
      <c r="AJ139" s="71">
        <f t="shared" si="86"/>
        <v>0</v>
      </c>
    </row>
    <row r="140" spans="2:36">
      <c r="B140" s="597"/>
      <c r="C140" s="597"/>
      <c r="D140" s="597"/>
      <c r="E140" s="597"/>
      <c r="F140" s="597"/>
      <c r="G140" s="597"/>
      <c r="I140" s="597"/>
      <c r="J140" s="597"/>
      <c r="K140" s="597"/>
      <c r="L140" s="597"/>
      <c r="M140" s="597"/>
      <c r="N140" s="597"/>
      <c r="O140" s="598"/>
      <c r="P140" s="90">
        <v>17</v>
      </c>
      <c r="Q140" s="71">
        <v>0</v>
      </c>
      <c r="R140" s="71">
        <v>1259</v>
      </c>
      <c r="S140" s="71">
        <v>19443</v>
      </c>
      <c r="T140" s="71">
        <v>69410</v>
      </c>
      <c r="U140" s="71">
        <v>148454</v>
      </c>
      <c r="V140" s="71">
        <v>0</v>
      </c>
      <c r="X140" s="90">
        <f t="shared" si="85"/>
        <v>0</v>
      </c>
      <c r="Y140" s="90">
        <f t="shared" si="85"/>
        <v>0</v>
      </c>
      <c r="Z140" s="90">
        <f t="shared" si="85"/>
        <v>0</v>
      </c>
      <c r="AA140" s="90">
        <f t="shared" si="85"/>
        <v>0</v>
      </c>
      <c r="AB140" s="90">
        <f t="shared" si="85"/>
        <v>0</v>
      </c>
      <c r="AC140" s="90">
        <f t="shared" si="85"/>
        <v>0</v>
      </c>
      <c r="AE140" s="71">
        <f t="shared" si="86"/>
        <v>0</v>
      </c>
      <c r="AF140" s="71">
        <f t="shared" si="86"/>
        <v>0</v>
      </c>
      <c r="AG140" s="71">
        <f t="shared" si="86"/>
        <v>0</v>
      </c>
      <c r="AH140" s="71">
        <f t="shared" si="86"/>
        <v>0</v>
      </c>
      <c r="AI140" s="71">
        <f t="shared" si="86"/>
        <v>0</v>
      </c>
      <c r="AJ140" s="71">
        <f t="shared" si="86"/>
        <v>0</v>
      </c>
    </row>
    <row r="141" spans="2:36" s="599" customFormat="1">
      <c r="B141" s="600"/>
      <c r="C141" s="600"/>
      <c r="D141" s="600"/>
      <c r="E141" s="600"/>
      <c r="F141" s="600"/>
      <c r="G141" s="600"/>
      <c r="I141" s="600"/>
      <c r="J141" s="600"/>
      <c r="K141" s="600"/>
      <c r="L141" s="600"/>
      <c r="M141" s="600"/>
      <c r="N141" s="600"/>
      <c r="O141" s="601"/>
      <c r="P141" s="599">
        <v>17</v>
      </c>
      <c r="Q141" s="602">
        <v>0</v>
      </c>
      <c r="R141" s="602">
        <v>1259</v>
      </c>
      <c r="S141" s="602">
        <v>19443</v>
      </c>
      <c r="T141" s="602">
        <v>69410</v>
      </c>
      <c r="U141" s="602">
        <v>148454</v>
      </c>
      <c r="V141" s="602">
        <v>0</v>
      </c>
      <c r="X141" s="599">
        <f t="shared" si="85"/>
        <v>0</v>
      </c>
      <c r="Y141" s="599">
        <f t="shared" si="85"/>
        <v>0</v>
      </c>
      <c r="Z141" s="599">
        <f t="shared" si="85"/>
        <v>0</v>
      </c>
      <c r="AA141" s="599">
        <f t="shared" si="85"/>
        <v>0</v>
      </c>
      <c r="AB141" s="599">
        <f t="shared" si="85"/>
        <v>0</v>
      </c>
      <c r="AC141" s="599">
        <f t="shared" si="85"/>
        <v>0</v>
      </c>
      <c r="AE141" s="602">
        <f t="shared" si="86"/>
        <v>0</v>
      </c>
      <c r="AF141" s="602">
        <f t="shared" si="86"/>
        <v>0</v>
      </c>
      <c r="AG141" s="602">
        <f t="shared" si="86"/>
        <v>0</v>
      </c>
      <c r="AH141" s="602">
        <f t="shared" si="86"/>
        <v>0</v>
      </c>
      <c r="AI141" s="602">
        <f t="shared" si="86"/>
        <v>0</v>
      </c>
      <c r="AJ141" s="602">
        <f t="shared" si="86"/>
        <v>0</v>
      </c>
    </row>
    <row r="142" spans="2:36" s="605" customFormat="1">
      <c r="B142" s="604"/>
      <c r="C142" s="604"/>
      <c r="D142" s="604"/>
      <c r="E142" s="604"/>
      <c r="F142" s="604"/>
      <c r="G142" s="604"/>
      <c r="I142" s="604"/>
      <c r="J142" s="604"/>
      <c r="K142" s="604"/>
      <c r="L142" s="604"/>
      <c r="M142" s="604"/>
      <c r="N142" s="604"/>
      <c r="O142" s="606"/>
      <c r="P142" s="605">
        <v>18</v>
      </c>
      <c r="Q142" s="607">
        <v>0</v>
      </c>
      <c r="R142" s="607">
        <v>23362</v>
      </c>
      <c r="S142" s="607">
        <v>288698</v>
      </c>
      <c r="T142" s="607">
        <v>520276</v>
      </c>
      <c r="U142" s="607">
        <v>1521233</v>
      </c>
      <c r="V142" s="607">
        <v>0</v>
      </c>
      <c r="X142" s="605">
        <f t="shared" si="85"/>
        <v>0</v>
      </c>
      <c r="Y142" s="605">
        <f t="shared" si="85"/>
        <v>0</v>
      </c>
      <c r="Z142" s="605">
        <f t="shared" si="85"/>
        <v>0</v>
      </c>
      <c r="AA142" s="605">
        <f t="shared" si="85"/>
        <v>0</v>
      </c>
      <c r="AB142" s="605">
        <f t="shared" si="85"/>
        <v>0</v>
      </c>
      <c r="AC142" s="605">
        <f t="shared" si="85"/>
        <v>0</v>
      </c>
      <c r="AE142" s="607">
        <f t="shared" si="86"/>
        <v>0</v>
      </c>
      <c r="AF142" s="607">
        <f t="shared" si="86"/>
        <v>0</v>
      </c>
      <c r="AG142" s="607">
        <f t="shared" si="86"/>
        <v>0</v>
      </c>
      <c r="AH142" s="607">
        <f t="shared" si="86"/>
        <v>0</v>
      </c>
      <c r="AI142" s="607">
        <f t="shared" si="86"/>
        <v>0</v>
      </c>
      <c r="AJ142" s="607">
        <f t="shared" si="86"/>
        <v>0</v>
      </c>
    </row>
    <row r="143" spans="2:36">
      <c r="B143" s="597"/>
      <c r="C143" s="597"/>
      <c r="D143" s="597"/>
      <c r="E143" s="597"/>
      <c r="F143" s="597"/>
      <c r="G143" s="597"/>
      <c r="I143" s="597"/>
      <c r="J143" s="597"/>
      <c r="K143" s="597"/>
      <c r="L143" s="597"/>
      <c r="M143" s="597"/>
      <c r="N143" s="597"/>
      <c r="O143" s="598"/>
      <c r="P143" s="90">
        <v>18</v>
      </c>
      <c r="Q143" s="71">
        <v>0</v>
      </c>
      <c r="R143" s="71">
        <v>23362</v>
      </c>
      <c r="S143" s="71">
        <v>288698</v>
      </c>
      <c r="T143" s="71">
        <v>520276</v>
      </c>
      <c r="U143" s="71">
        <v>1521233</v>
      </c>
      <c r="V143" s="71">
        <v>0</v>
      </c>
      <c r="X143" s="90">
        <f t="shared" si="85"/>
        <v>0</v>
      </c>
      <c r="Y143" s="90">
        <f t="shared" si="85"/>
        <v>0</v>
      </c>
      <c r="Z143" s="90">
        <f t="shared" si="85"/>
        <v>0</v>
      </c>
      <c r="AA143" s="90">
        <f t="shared" si="85"/>
        <v>0</v>
      </c>
      <c r="AB143" s="90">
        <f t="shared" si="85"/>
        <v>0</v>
      </c>
      <c r="AC143" s="90">
        <f t="shared" si="85"/>
        <v>0</v>
      </c>
      <c r="AE143" s="71">
        <f t="shared" si="86"/>
        <v>0</v>
      </c>
      <c r="AF143" s="71">
        <f t="shared" si="86"/>
        <v>0</v>
      </c>
      <c r="AG143" s="71">
        <f t="shared" si="86"/>
        <v>0</v>
      </c>
      <c r="AH143" s="71">
        <f t="shared" si="86"/>
        <v>0</v>
      </c>
      <c r="AI143" s="71">
        <f t="shared" si="86"/>
        <v>0</v>
      </c>
      <c r="AJ143" s="71">
        <f t="shared" si="86"/>
        <v>0</v>
      </c>
    </row>
    <row r="144" spans="2:36">
      <c r="B144" s="597"/>
      <c r="C144" s="597"/>
      <c r="D144" s="597"/>
      <c r="E144" s="597"/>
      <c r="F144" s="597"/>
      <c r="G144" s="597"/>
      <c r="I144" s="597"/>
      <c r="J144" s="597"/>
      <c r="K144" s="597"/>
      <c r="L144" s="597"/>
      <c r="M144" s="597"/>
      <c r="N144" s="597"/>
      <c r="O144" s="598"/>
      <c r="P144" s="90">
        <v>18</v>
      </c>
      <c r="Q144" s="71">
        <v>0</v>
      </c>
      <c r="R144" s="71">
        <v>23362</v>
      </c>
      <c r="S144" s="71">
        <v>288698</v>
      </c>
      <c r="T144" s="71">
        <v>520276</v>
      </c>
      <c r="U144" s="71">
        <v>1521233</v>
      </c>
      <c r="V144" s="71">
        <v>0</v>
      </c>
      <c r="X144" s="90">
        <f t="shared" si="85"/>
        <v>0</v>
      </c>
      <c r="Y144" s="90">
        <f t="shared" si="85"/>
        <v>0</v>
      </c>
      <c r="Z144" s="90">
        <f t="shared" si="85"/>
        <v>0</v>
      </c>
      <c r="AA144" s="90">
        <f t="shared" si="85"/>
        <v>0</v>
      </c>
      <c r="AB144" s="90">
        <f t="shared" si="85"/>
        <v>0</v>
      </c>
      <c r="AC144" s="90">
        <f t="shared" si="85"/>
        <v>0</v>
      </c>
      <c r="AE144" s="71">
        <f t="shared" si="86"/>
        <v>0</v>
      </c>
      <c r="AF144" s="71">
        <f t="shared" si="86"/>
        <v>0</v>
      </c>
      <c r="AG144" s="71">
        <f t="shared" si="86"/>
        <v>0</v>
      </c>
      <c r="AH144" s="71">
        <f t="shared" si="86"/>
        <v>0</v>
      </c>
      <c r="AI144" s="71">
        <f t="shared" si="86"/>
        <v>0</v>
      </c>
      <c r="AJ144" s="71">
        <f t="shared" si="86"/>
        <v>0</v>
      </c>
    </row>
    <row r="145" spans="2:36">
      <c r="B145" s="597"/>
      <c r="C145" s="597"/>
      <c r="D145" s="597"/>
      <c r="E145" s="597"/>
      <c r="F145" s="597"/>
      <c r="G145" s="597"/>
      <c r="I145" s="597"/>
      <c r="J145" s="597"/>
      <c r="K145" s="597"/>
      <c r="L145" s="597"/>
      <c r="M145" s="597"/>
      <c r="N145" s="597"/>
      <c r="O145" s="598"/>
      <c r="P145" s="90">
        <v>18</v>
      </c>
      <c r="Q145" s="71">
        <v>0</v>
      </c>
      <c r="R145" s="71">
        <v>23362</v>
      </c>
      <c r="S145" s="71">
        <v>288698</v>
      </c>
      <c r="T145" s="71">
        <v>520276</v>
      </c>
      <c r="U145" s="71">
        <v>1521233</v>
      </c>
      <c r="V145" s="71">
        <v>0</v>
      </c>
      <c r="X145" s="90">
        <f t="shared" si="85"/>
        <v>0</v>
      </c>
      <c r="Y145" s="90">
        <f t="shared" si="85"/>
        <v>0</v>
      </c>
      <c r="Z145" s="90">
        <f t="shared" si="85"/>
        <v>0</v>
      </c>
      <c r="AA145" s="90">
        <f t="shared" si="85"/>
        <v>0</v>
      </c>
      <c r="AB145" s="90">
        <f t="shared" si="85"/>
        <v>0</v>
      </c>
      <c r="AC145" s="90">
        <f t="shared" si="85"/>
        <v>0</v>
      </c>
      <c r="AE145" s="71">
        <f t="shared" si="86"/>
        <v>0</v>
      </c>
      <c r="AF145" s="71">
        <f t="shared" si="86"/>
        <v>0</v>
      </c>
      <c r="AG145" s="71">
        <f t="shared" si="86"/>
        <v>0</v>
      </c>
      <c r="AH145" s="71">
        <f t="shared" si="86"/>
        <v>0</v>
      </c>
      <c r="AI145" s="71">
        <f t="shared" si="86"/>
        <v>0</v>
      </c>
      <c r="AJ145" s="71">
        <f t="shared" si="86"/>
        <v>0</v>
      </c>
    </row>
    <row r="146" spans="2:36">
      <c r="B146" s="597"/>
      <c r="C146" s="597"/>
      <c r="D146" s="597"/>
      <c r="E146" s="597"/>
      <c r="F146" s="597"/>
      <c r="G146" s="597"/>
      <c r="I146" s="597"/>
      <c r="J146" s="597"/>
      <c r="K146" s="597"/>
      <c r="L146" s="597"/>
      <c r="M146" s="597"/>
      <c r="N146" s="597"/>
      <c r="O146" s="598"/>
      <c r="P146" s="90">
        <v>18</v>
      </c>
      <c r="Q146" s="71">
        <v>0</v>
      </c>
      <c r="R146" s="71">
        <v>23362</v>
      </c>
      <c r="S146" s="71">
        <v>288698</v>
      </c>
      <c r="T146" s="71">
        <v>520276</v>
      </c>
      <c r="U146" s="71">
        <v>1521233</v>
      </c>
      <c r="V146" s="71">
        <v>0</v>
      </c>
      <c r="X146" s="90">
        <f t="shared" si="85"/>
        <v>0</v>
      </c>
      <c r="Y146" s="90">
        <f t="shared" si="85"/>
        <v>0</v>
      </c>
      <c r="Z146" s="90">
        <f t="shared" si="85"/>
        <v>0</v>
      </c>
      <c r="AA146" s="90">
        <f t="shared" si="85"/>
        <v>0</v>
      </c>
      <c r="AB146" s="90">
        <f t="shared" si="85"/>
        <v>0</v>
      </c>
      <c r="AC146" s="90">
        <f t="shared" si="85"/>
        <v>0</v>
      </c>
      <c r="AE146" s="71">
        <f t="shared" si="86"/>
        <v>0</v>
      </c>
      <c r="AF146" s="71">
        <f t="shared" si="86"/>
        <v>0</v>
      </c>
      <c r="AG146" s="71">
        <f t="shared" si="86"/>
        <v>0</v>
      </c>
      <c r="AH146" s="71">
        <f t="shared" si="86"/>
        <v>0</v>
      </c>
      <c r="AI146" s="71">
        <f t="shared" si="86"/>
        <v>0</v>
      </c>
      <c r="AJ146" s="71">
        <f t="shared" si="86"/>
        <v>0</v>
      </c>
    </row>
    <row r="147" spans="2:36">
      <c r="B147" s="597"/>
      <c r="C147" s="597"/>
      <c r="D147" s="597"/>
      <c r="E147" s="597"/>
      <c r="F147" s="597"/>
      <c r="G147" s="597"/>
      <c r="I147" s="597"/>
      <c r="J147" s="597"/>
      <c r="K147" s="597"/>
      <c r="L147" s="597"/>
      <c r="M147" s="597"/>
      <c r="N147" s="597"/>
      <c r="O147" s="598"/>
      <c r="P147" s="90">
        <v>18</v>
      </c>
      <c r="Q147" s="71">
        <v>0</v>
      </c>
      <c r="R147" s="71">
        <v>23362</v>
      </c>
      <c r="S147" s="71">
        <v>288698</v>
      </c>
      <c r="T147" s="71">
        <v>520276</v>
      </c>
      <c r="U147" s="71">
        <v>1521233</v>
      </c>
      <c r="V147" s="71">
        <v>0</v>
      </c>
      <c r="X147" s="90">
        <f t="shared" si="85"/>
        <v>0</v>
      </c>
      <c r="Y147" s="90">
        <f t="shared" si="85"/>
        <v>0</v>
      </c>
      <c r="Z147" s="90">
        <f t="shared" si="85"/>
        <v>0</v>
      </c>
      <c r="AA147" s="90">
        <f t="shared" si="85"/>
        <v>0</v>
      </c>
      <c r="AB147" s="90">
        <f t="shared" si="85"/>
        <v>0</v>
      </c>
      <c r="AC147" s="90">
        <f t="shared" si="85"/>
        <v>0</v>
      </c>
      <c r="AE147" s="71">
        <f t="shared" si="86"/>
        <v>0</v>
      </c>
      <c r="AF147" s="71">
        <f t="shared" si="86"/>
        <v>0</v>
      </c>
      <c r="AG147" s="71">
        <f t="shared" si="86"/>
        <v>0</v>
      </c>
      <c r="AH147" s="71">
        <f t="shared" si="86"/>
        <v>0</v>
      </c>
      <c r="AI147" s="71">
        <f t="shared" si="86"/>
        <v>0</v>
      </c>
      <c r="AJ147" s="71">
        <f t="shared" si="86"/>
        <v>0</v>
      </c>
    </row>
    <row r="148" spans="2:36">
      <c r="B148" s="597"/>
      <c r="C148" s="597"/>
      <c r="D148" s="597"/>
      <c r="E148" s="597"/>
      <c r="F148" s="597"/>
      <c r="G148" s="597"/>
      <c r="I148" s="597"/>
      <c r="J148" s="597"/>
      <c r="K148" s="597"/>
      <c r="L148" s="597"/>
      <c r="M148" s="597"/>
      <c r="N148" s="597"/>
      <c r="O148" s="598"/>
      <c r="P148" s="90">
        <v>18</v>
      </c>
      <c r="Q148" s="71">
        <v>0</v>
      </c>
      <c r="R148" s="71">
        <v>23362</v>
      </c>
      <c r="S148" s="71">
        <v>288698</v>
      </c>
      <c r="T148" s="71">
        <v>520276</v>
      </c>
      <c r="U148" s="71">
        <v>1521233</v>
      </c>
      <c r="V148" s="71">
        <v>0</v>
      </c>
      <c r="X148" s="90">
        <f t="shared" si="85"/>
        <v>0</v>
      </c>
      <c r="Y148" s="90">
        <f t="shared" si="85"/>
        <v>0</v>
      </c>
      <c r="Z148" s="90">
        <f t="shared" si="85"/>
        <v>0</v>
      </c>
      <c r="AA148" s="90">
        <f t="shared" si="85"/>
        <v>0</v>
      </c>
      <c r="AB148" s="90">
        <f t="shared" si="85"/>
        <v>0</v>
      </c>
      <c r="AC148" s="90">
        <f t="shared" si="85"/>
        <v>0</v>
      </c>
      <c r="AE148" s="71">
        <f t="shared" si="86"/>
        <v>0</v>
      </c>
      <c r="AF148" s="71">
        <f t="shared" si="86"/>
        <v>0</v>
      </c>
      <c r="AG148" s="71">
        <f t="shared" si="86"/>
        <v>0</v>
      </c>
      <c r="AH148" s="71">
        <f t="shared" si="86"/>
        <v>0</v>
      </c>
      <c r="AI148" s="71">
        <f t="shared" si="86"/>
        <v>0</v>
      </c>
      <c r="AJ148" s="71">
        <f t="shared" si="86"/>
        <v>0</v>
      </c>
    </row>
    <row r="149" spans="2:36" s="599" customFormat="1">
      <c r="B149" s="600"/>
      <c r="C149" s="600"/>
      <c r="D149" s="600"/>
      <c r="E149" s="600"/>
      <c r="F149" s="600"/>
      <c r="G149" s="600"/>
      <c r="I149" s="600"/>
      <c r="J149" s="600"/>
      <c r="K149" s="600"/>
      <c r="L149" s="600"/>
      <c r="M149" s="600"/>
      <c r="N149" s="600"/>
      <c r="O149" s="601"/>
      <c r="P149" s="599">
        <v>18</v>
      </c>
      <c r="Q149" s="602">
        <v>0</v>
      </c>
      <c r="R149" s="602">
        <v>23362</v>
      </c>
      <c r="S149" s="602">
        <v>288698</v>
      </c>
      <c r="T149" s="602">
        <v>520276</v>
      </c>
      <c r="U149" s="602">
        <v>1521233</v>
      </c>
      <c r="V149" s="602">
        <v>0</v>
      </c>
      <c r="X149" s="599">
        <f t="shared" si="85"/>
        <v>0</v>
      </c>
      <c r="Y149" s="599">
        <f t="shared" si="85"/>
        <v>0</v>
      </c>
      <c r="Z149" s="599">
        <f t="shared" si="85"/>
        <v>0</v>
      </c>
      <c r="AA149" s="599">
        <f t="shared" si="85"/>
        <v>0</v>
      </c>
      <c r="AB149" s="599">
        <f t="shared" si="85"/>
        <v>0</v>
      </c>
      <c r="AC149" s="599">
        <f t="shared" si="85"/>
        <v>0</v>
      </c>
      <c r="AE149" s="602">
        <f t="shared" si="86"/>
        <v>0</v>
      </c>
      <c r="AF149" s="602">
        <f t="shared" si="86"/>
        <v>0</v>
      </c>
      <c r="AG149" s="602">
        <f t="shared" si="86"/>
        <v>0</v>
      </c>
      <c r="AH149" s="602">
        <f t="shared" si="86"/>
        <v>0</v>
      </c>
      <c r="AI149" s="602">
        <f t="shared" si="86"/>
        <v>0</v>
      </c>
      <c r="AJ149" s="602">
        <f t="shared" si="86"/>
        <v>0</v>
      </c>
    </row>
    <row r="150" spans="2:36" s="605" customFormat="1">
      <c r="B150" s="604"/>
      <c r="C150" s="604"/>
      <c r="D150" s="604"/>
      <c r="E150" s="604"/>
      <c r="F150" s="604"/>
      <c r="G150" s="604"/>
      <c r="I150" s="604"/>
      <c r="J150" s="604"/>
      <c r="K150" s="604"/>
      <c r="L150" s="604"/>
      <c r="M150" s="604"/>
      <c r="N150" s="604"/>
      <c r="O150" s="606"/>
      <c r="P150" s="605">
        <v>19</v>
      </c>
      <c r="Q150" s="607">
        <v>0</v>
      </c>
      <c r="R150" s="607">
        <v>0</v>
      </c>
      <c r="S150" s="607">
        <v>0</v>
      </c>
      <c r="T150" s="607">
        <v>0</v>
      </c>
      <c r="U150" s="607">
        <v>0</v>
      </c>
      <c r="V150" s="607">
        <v>0</v>
      </c>
      <c r="X150" s="605">
        <f t="shared" si="85"/>
        <v>0</v>
      </c>
      <c r="Y150" s="605">
        <f t="shared" si="85"/>
        <v>0</v>
      </c>
      <c r="Z150" s="605">
        <f t="shared" si="85"/>
        <v>0</v>
      </c>
      <c r="AA150" s="605">
        <f t="shared" si="85"/>
        <v>0</v>
      </c>
      <c r="AB150" s="605">
        <f t="shared" si="85"/>
        <v>0</v>
      </c>
      <c r="AC150" s="605">
        <f t="shared" si="85"/>
        <v>0</v>
      </c>
      <c r="AE150" s="607">
        <f t="shared" si="86"/>
        <v>0</v>
      </c>
      <c r="AF150" s="607">
        <f t="shared" si="86"/>
        <v>0</v>
      </c>
      <c r="AG150" s="607">
        <f t="shared" si="86"/>
        <v>0</v>
      </c>
      <c r="AH150" s="607">
        <f t="shared" si="86"/>
        <v>0</v>
      </c>
      <c r="AI150" s="607">
        <f t="shared" si="86"/>
        <v>0</v>
      </c>
      <c r="AJ150" s="607">
        <f t="shared" si="86"/>
        <v>0</v>
      </c>
    </row>
    <row r="151" spans="2:36">
      <c r="B151" s="597"/>
      <c r="C151" s="597"/>
      <c r="D151" s="597"/>
      <c r="E151" s="597"/>
      <c r="F151" s="597"/>
      <c r="G151" s="597"/>
      <c r="I151" s="597"/>
      <c r="J151" s="597"/>
      <c r="K151" s="597"/>
      <c r="L151" s="597"/>
      <c r="M151" s="597"/>
      <c r="N151" s="597"/>
      <c r="O151" s="598"/>
      <c r="P151" s="90">
        <v>19</v>
      </c>
      <c r="Q151" s="71">
        <v>0</v>
      </c>
      <c r="R151" s="71">
        <v>0</v>
      </c>
      <c r="S151" s="71">
        <v>0</v>
      </c>
      <c r="T151" s="71">
        <v>0</v>
      </c>
      <c r="U151" s="71">
        <v>0</v>
      </c>
      <c r="V151" s="71">
        <v>0</v>
      </c>
      <c r="X151" s="90">
        <f t="shared" si="85"/>
        <v>0</v>
      </c>
      <c r="Y151" s="90">
        <f t="shared" si="85"/>
        <v>0</v>
      </c>
      <c r="Z151" s="90">
        <f t="shared" si="85"/>
        <v>0</v>
      </c>
      <c r="AA151" s="90">
        <f t="shared" si="85"/>
        <v>0</v>
      </c>
      <c r="AB151" s="90">
        <f t="shared" si="85"/>
        <v>0</v>
      </c>
      <c r="AC151" s="90">
        <f t="shared" si="85"/>
        <v>0</v>
      </c>
      <c r="AE151" s="71">
        <f t="shared" si="86"/>
        <v>0</v>
      </c>
      <c r="AF151" s="71">
        <f t="shared" si="86"/>
        <v>0</v>
      </c>
      <c r="AG151" s="71">
        <f t="shared" si="86"/>
        <v>0</v>
      </c>
      <c r="AH151" s="71">
        <f t="shared" si="86"/>
        <v>0</v>
      </c>
      <c r="AI151" s="71">
        <f t="shared" si="86"/>
        <v>0</v>
      </c>
      <c r="AJ151" s="71">
        <f t="shared" si="86"/>
        <v>0</v>
      </c>
    </row>
    <row r="152" spans="2:36">
      <c r="B152" s="597"/>
      <c r="C152" s="597"/>
      <c r="D152" s="597"/>
      <c r="E152" s="597"/>
      <c r="F152" s="597"/>
      <c r="G152" s="597"/>
      <c r="I152" s="597"/>
      <c r="J152" s="597"/>
      <c r="K152" s="597"/>
      <c r="L152" s="597"/>
      <c r="M152" s="597"/>
      <c r="N152" s="597"/>
      <c r="O152" s="598"/>
      <c r="P152" s="90">
        <v>19</v>
      </c>
      <c r="Q152" s="71">
        <v>0</v>
      </c>
      <c r="R152" s="71">
        <v>0</v>
      </c>
      <c r="S152" s="71">
        <v>0</v>
      </c>
      <c r="T152" s="71">
        <v>0</v>
      </c>
      <c r="U152" s="71">
        <v>0</v>
      </c>
      <c r="V152" s="71">
        <v>0</v>
      </c>
      <c r="X152" s="90">
        <f t="shared" si="85"/>
        <v>0</v>
      </c>
      <c r="Y152" s="90">
        <f t="shared" si="85"/>
        <v>0</v>
      </c>
      <c r="Z152" s="90">
        <f t="shared" si="85"/>
        <v>0</v>
      </c>
      <c r="AA152" s="90">
        <f t="shared" si="85"/>
        <v>0</v>
      </c>
      <c r="AB152" s="90">
        <f t="shared" si="85"/>
        <v>0</v>
      </c>
      <c r="AC152" s="90">
        <f t="shared" si="85"/>
        <v>0</v>
      </c>
      <c r="AE152" s="71">
        <f t="shared" si="86"/>
        <v>0</v>
      </c>
      <c r="AF152" s="71">
        <f t="shared" si="86"/>
        <v>0</v>
      </c>
      <c r="AG152" s="71">
        <f t="shared" si="86"/>
        <v>0</v>
      </c>
      <c r="AH152" s="71">
        <f t="shared" si="86"/>
        <v>0</v>
      </c>
      <c r="AI152" s="71">
        <f t="shared" si="86"/>
        <v>0</v>
      </c>
      <c r="AJ152" s="71">
        <f t="shared" si="86"/>
        <v>0</v>
      </c>
    </row>
    <row r="153" spans="2:36">
      <c r="B153" s="597"/>
      <c r="C153" s="597"/>
      <c r="D153" s="597"/>
      <c r="E153" s="597"/>
      <c r="F153" s="597"/>
      <c r="G153" s="597"/>
      <c r="I153" s="597"/>
      <c r="J153" s="597"/>
      <c r="K153" s="597"/>
      <c r="L153" s="597"/>
      <c r="M153" s="597"/>
      <c r="N153" s="597"/>
      <c r="O153" s="598"/>
      <c r="P153" s="90">
        <v>19</v>
      </c>
      <c r="Q153" s="71">
        <v>0</v>
      </c>
      <c r="R153" s="71">
        <v>0</v>
      </c>
      <c r="S153" s="71">
        <v>0</v>
      </c>
      <c r="T153" s="71">
        <v>0</v>
      </c>
      <c r="U153" s="71">
        <v>0</v>
      </c>
      <c r="V153" s="71">
        <v>0</v>
      </c>
      <c r="X153" s="90">
        <f t="shared" si="85"/>
        <v>0</v>
      </c>
      <c r="Y153" s="90">
        <f t="shared" si="85"/>
        <v>0</v>
      </c>
      <c r="Z153" s="90">
        <f t="shared" si="85"/>
        <v>0</v>
      </c>
      <c r="AA153" s="90">
        <f t="shared" si="85"/>
        <v>0</v>
      </c>
      <c r="AB153" s="90">
        <f t="shared" si="85"/>
        <v>0</v>
      </c>
      <c r="AC153" s="90">
        <f t="shared" si="85"/>
        <v>0</v>
      </c>
      <c r="AE153" s="71">
        <f t="shared" si="86"/>
        <v>0</v>
      </c>
      <c r="AF153" s="71">
        <f t="shared" si="86"/>
        <v>0</v>
      </c>
      <c r="AG153" s="71">
        <f t="shared" si="86"/>
        <v>0</v>
      </c>
      <c r="AH153" s="71">
        <f t="shared" si="86"/>
        <v>0</v>
      </c>
      <c r="AI153" s="71">
        <f t="shared" si="86"/>
        <v>0</v>
      </c>
      <c r="AJ153" s="71">
        <f t="shared" si="86"/>
        <v>0</v>
      </c>
    </row>
    <row r="154" spans="2:36">
      <c r="B154" s="597"/>
      <c r="C154" s="597"/>
      <c r="D154" s="597"/>
      <c r="E154" s="597"/>
      <c r="F154" s="597"/>
      <c r="G154" s="597"/>
      <c r="I154" s="597"/>
      <c r="J154" s="597"/>
      <c r="K154" s="597"/>
      <c r="L154" s="597"/>
      <c r="M154" s="597"/>
      <c r="N154" s="597"/>
      <c r="O154" s="598"/>
      <c r="P154" s="90">
        <v>19</v>
      </c>
      <c r="Q154" s="71">
        <v>0</v>
      </c>
      <c r="R154" s="71">
        <v>0</v>
      </c>
      <c r="S154" s="71">
        <v>0</v>
      </c>
      <c r="T154" s="71">
        <v>0</v>
      </c>
      <c r="U154" s="71">
        <v>0</v>
      </c>
      <c r="V154" s="71">
        <v>0</v>
      </c>
      <c r="X154" s="90">
        <f t="shared" si="85"/>
        <v>0</v>
      </c>
      <c r="Y154" s="90">
        <f t="shared" si="85"/>
        <v>0</v>
      </c>
      <c r="Z154" s="90">
        <f t="shared" si="85"/>
        <v>0</v>
      </c>
      <c r="AA154" s="90">
        <f t="shared" si="85"/>
        <v>0</v>
      </c>
      <c r="AB154" s="90">
        <f t="shared" si="85"/>
        <v>0</v>
      </c>
      <c r="AC154" s="90">
        <f t="shared" si="85"/>
        <v>0</v>
      </c>
      <c r="AE154" s="71">
        <f t="shared" si="86"/>
        <v>0</v>
      </c>
      <c r="AF154" s="71">
        <f t="shared" si="86"/>
        <v>0</v>
      </c>
      <c r="AG154" s="71">
        <f t="shared" si="86"/>
        <v>0</v>
      </c>
      <c r="AH154" s="71">
        <f t="shared" si="86"/>
        <v>0</v>
      </c>
      <c r="AI154" s="71">
        <f t="shared" si="86"/>
        <v>0</v>
      </c>
      <c r="AJ154" s="71">
        <f t="shared" si="86"/>
        <v>0</v>
      </c>
    </row>
    <row r="155" spans="2:36">
      <c r="B155" s="597"/>
      <c r="C155" s="597"/>
      <c r="D155" s="597"/>
      <c r="E155" s="597"/>
      <c r="F155" s="597"/>
      <c r="G155" s="597"/>
      <c r="I155" s="597"/>
      <c r="J155" s="597"/>
      <c r="K155" s="597"/>
      <c r="L155" s="597"/>
      <c r="M155" s="597"/>
      <c r="N155" s="597"/>
      <c r="O155" s="598"/>
      <c r="P155" s="90">
        <v>19</v>
      </c>
      <c r="Q155" s="71">
        <v>0</v>
      </c>
      <c r="R155" s="71">
        <v>0</v>
      </c>
      <c r="S155" s="71">
        <v>0</v>
      </c>
      <c r="T155" s="71">
        <v>0</v>
      </c>
      <c r="U155" s="71">
        <v>0</v>
      </c>
      <c r="V155" s="71">
        <v>0</v>
      </c>
      <c r="X155" s="90">
        <f t="shared" si="85"/>
        <v>0</v>
      </c>
      <c r="Y155" s="90">
        <f t="shared" si="85"/>
        <v>0</v>
      </c>
      <c r="Z155" s="90">
        <f t="shared" si="85"/>
        <v>0</v>
      </c>
      <c r="AA155" s="90">
        <f t="shared" si="85"/>
        <v>0</v>
      </c>
      <c r="AB155" s="90">
        <f t="shared" si="85"/>
        <v>0</v>
      </c>
      <c r="AC155" s="90">
        <f t="shared" si="85"/>
        <v>0</v>
      </c>
      <c r="AE155" s="71">
        <f t="shared" si="86"/>
        <v>0</v>
      </c>
      <c r="AF155" s="71">
        <f t="shared" si="86"/>
        <v>0</v>
      </c>
      <c r="AG155" s="71">
        <f t="shared" si="86"/>
        <v>0</v>
      </c>
      <c r="AH155" s="71">
        <f t="shared" si="86"/>
        <v>0</v>
      </c>
      <c r="AI155" s="71">
        <f t="shared" si="86"/>
        <v>0</v>
      </c>
      <c r="AJ155" s="71">
        <f t="shared" si="86"/>
        <v>0</v>
      </c>
    </row>
    <row r="156" spans="2:36">
      <c r="B156" s="597"/>
      <c r="C156" s="597"/>
      <c r="D156" s="597"/>
      <c r="E156" s="597"/>
      <c r="F156" s="597"/>
      <c r="G156" s="597"/>
      <c r="I156" s="597"/>
      <c r="J156" s="597"/>
      <c r="K156" s="597"/>
      <c r="L156" s="597"/>
      <c r="M156" s="597"/>
      <c r="N156" s="597"/>
      <c r="O156" s="598"/>
      <c r="P156" s="90">
        <v>19</v>
      </c>
      <c r="Q156" s="71">
        <v>0</v>
      </c>
      <c r="R156" s="71">
        <v>0</v>
      </c>
      <c r="S156" s="71">
        <v>0</v>
      </c>
      <c r="T156" s="71">
        <v>0</v>
      </c>
      <c r="U156" s="71">
        <v>0</v>
      </c>
      <c r="V156" s="71">
        <v>0</v>
      </c>
      <c r="X156" s="90">
        <f t="shared" si="85"/>
        <v>0</v>
      </c>
      <c r="Y156" s="90">
        <f t="shared" si="85"/>
        <v>0</v>
      </c>
      <c r="Z156" s="90">
        <f t="shared" si="85"/>
        <v>0</v>
      </c>
      <c r="AA156" s="90">
        <f t="shared" si="85"/>
        <v>0</v>
      </c>
      <c r="AB156" s="90">
        <f t="shared" si="85"/>
        <v>0</v>
      </c>
      <c r="AC156" s="90">
        <f t="shared" si="85"/>
        <v>0</v>
      </c>
      <c r="AE156" s="71">
        <f t="shared" si="86"/>
        <v>0</v>
      </c>
      <c r="AF156" s="71">
        <f t="shared" si="86"/>
        <v>0</v>
      </c>
      <c r="AG156" s="71">
        <f t="shared" si="86"/>
        <v>0</v>
      </c>
      <c r="AH156" s="71">
        <f t="shared" si="86"/>
        <v>0</v>
      </c>
      <c r="AI156" s="71">
        <f t="shared" si="86"/>
        <v>0</v>
      </c>
      <c r="AJ156" s="71">
        <f t="shared" si="86"/>
        <v>0</v>
      </c>
    </row>
    <row r="157" spans="2:36" s="599" customFormat="1">
      <c r="B157" s="600"/>
      <c r="C157" s="600"/>
      <c r="D157" s="600"/>
      <c r="E157" s="600"/>
      <c r="F157" s="600"/>
      <c r="G157" s="600"/>
      <c r="I157" s="600"/>
      <c r="J157" s="600"/>
      <c r="K157" s="600"/>
      <c r="L157" s="600"/>
      <c r="M157" s="600"/>
      <c r="N157" s="600"/>
      <c r="O157" s="601"/>
      <c r="P157" s="599">
        <v>19</v>
      </c>
      <c r="Q157" s="602">
        <v>0</v>
      </c>
      <c r="R157" s="602">
        <v>0</v>
      </c>
      <c r="S157" s="602">
        <v>0</v>
      </c>
      <c r="T157" s="602">
        <v>0</v>
      </c>
      <c r="U157" s="602">
        <v>0</v>
      </c>
      <c r="V157" s="602">
        <v>0</v>
      </c>
      <c r="X157" s="599">
        <f t="shared" si="85"/>
        <v>0</v>
      </c>
      <c r="Y157" s="599">
        <f t="shared" si="85"/>
        <v>0</v>
      </c>
      <c r="Z157" s="599">
        <f t="shared" si="85"/>
        <v>0</v>
      </c>
      <c r="AA157" s="599">
        <f t="shared" si="85"/>
        <v>0</v>
      </c>
      <c r="AB157" s="599">
        <f t="shared" si="85"/>
        <v>0</v>
      </c>
      <c r="AC157" s="599">
        <f t="shared" si="85"/>
        <v>0</v>
      </c>
      <c r="AE157" s="602">
        <f t="shared" si="86"/>
        <v>0</v>
      </c>
      <c r="AF157" s="602">
        <f t="shared" si="86"/>
        <v>0</v>
      </c>
      <c r="AG157" s="602">
        <f t="shared" si="86"/>
        <v>0</v>
      </c>
      <c r="AH157" s="602">
        <f t="shared" si="86"/>
        <v>0</v>
      </c>
      <c r="AI157" s="602">
        <f t="shared" si="86"/>
        <v>0</v>
      </c>
      <c r="AJ157" s="602">
        <f t="shared" si="86"/>
        <v>0</v>
      </c>
    </row>
    <row r="158" spans="2:36" s="605" customFormat="1">
      <c r="B158" s="604"/>
      <c r="C158" s="604"/>
      <c r="D158" s="604"/>
      <c r="E158" s="604"/>
      <c r="F158" s="604"/>
      <c r="G158" s="604"/>
      <c r="I158" s="604"/>
      <c r="J158" s="604"/>
      <c r="K158" s="604"/>
      <c r="L158" s="604"/>
      <c r="M158" s="604"/>
      <c r="N158" s="604"/>
      <c r="O158" s="606"/>
      <c r="P158" s="605">
        <v>20</v>
      </c>
      <c r="Q158" s="607">
        <v>0</v>
      </c>
      <c r="R158" s="607">
        <v>1102270</v>
      </c>
      <c r="S158" s="607">
        <v>2150748</v>
      </c>
      <c r="T158" s="607">
        <v>5660145</v>
      </c>
      <c r="U158" s="607">
        <v>9693577</v>
      </c>
      <c r="V158" s="607">
        <v>0</v>
      </c>
      <c r="X158" s="605">
        <f t="shared" si="85"/>
        <v>0</v>
      </c>
      <c r="Y158" s="605">
        <f t="shared" si="85"/>
        <v>0</v>
      </c>
      <c r="Z158" s="605">
        <f t="shared" si="85"/>
        <v>0</v>
      </c>
      <c r="AA158" s="605">
        <f t="shared" si="85"/>
        <v>0</v>
      </c>
      <c r="AB158" s="605">
        <f t="shared" si="85"/>
        <v>0</v>
      </c>
      <c r="AC158" s="605">
        <f t="shared" si="85"/>
        <v>0</v>
      </c>
      <c r="AE158" s="607">
        <f t="shared" si="86"/>
        <v>0</v>
      </c>
      <c r="AF158" s="607">
        <f t="shared" si="86"/>
        <v>0</v>
      </c>
      <c r="AG158" s="607">
        <f t="shared" si="86"/>
        <v>0</v>
      </c>
      <c r="AH158" s="607">
        <f t="shared" si="86"/>
        <v>0</v>
      </c>
      <c r="AI158" s="607">
        <f t="shared" si="86"/>
        <v>0</v>
      </c>
      <c r="AJ158" s="607">
        <f t="shared" si="86"/>
        <v>0</v>
      </c>
    </row>
    <row r="159" spans="2:36">
      <c r="B159" s="597"/>
      <c r="C159" s="597"/>
      <c r="D159" s="597"/>
      <c r="E159" s="597"/>
      <c r="F159" s="597"/>
      <c r="G159" s="597"/>
      <c r="I159" s="597"/>
      <c r="J159" s="597"/>
      <c r="K159" s="597"/>
      <c r="L159" s="597"/>
      <c r="M159" s="597"/>
      <c r="N159" s="597"/>
      <c r="O159" s="598"/>
      <c r="P159" s="90">
        <v>20</v>
      </c>
      <c r="Q159" s="71">
        <v>0</v>
      </c>
      <c r="R159" s="71">
        <v>1102270</v>
      </c>
      <c r="S159" s="71">
        <v>2150748</v>
      </c>
      <c r="T159" s="71">
        <v>5660145</v>
      </c>
      <c r="U159" s="71">
        <v>9693577</v>
      </c>
      <c r="V159" s="71">
        <v>0</v>
      </c>
      <c r="X159" s="90">
        <f t="shared" si="85"/>
        <v>0</v>
      </c>
      <c r="Y159" s="90">
        <f t="shared" si="85"/>
        <v>0</v>
      </c>
      <c r="Z159" s="90">
        <f t="shared" si="85"/>
        <v>0</v>
      </c>
      <c r="AA159" s="90">
        <f t="shared" si="85"/>
        <v>0</v>
      </c>
      <c r="AB159" s="90">
        <f t="shared" si="85"/>
        <v>0</v>
      </c>
      <c r="AC159" s="90">
        <f t="shared" si="85"/>
        <v>0</v>
      </c>
      <c r="AE159" s="71">
        <f t="shared" si="86"/>
        <v>0</v>
      </c>
      <c r="AF159" s="71">
        <f t="shared" si="86"/>
        <v>0</v>
      </c>
      <c r="AG159" s="71">
        <f t="shared" si="86"/>
        <v>0</v>
      </c>
      <c r="AH159" s="71">
        <f t="shared" si="86"/>
        <v>0</v>
      </c>
      <c r="AI159" s="71">
        <f t="shared" si="86"/>
        <v>0</v>
      </c>
      <c r="AJ159" s="71">
        <f t="shared" si="86"/>
        <v>0</v>
      </c>
    </row>
    <row r="160" spans="2:36">
      <c r="B160" s="597"/>
      <c r="C160" s="597"/>
      <c r="D160" s="597"/>
      <c r="E160" s="597"/>
      <c r="F160" s="597"/>
      <c r="G160" s="597"/>
      <c r="I160" s="597"/>
      <c r="J160" s="597"/>
      <c r="K160" s="597"/>
      <c r="L160" s="597"/>
      <c r="M160" s="597"/>
      <c r="N160" s="597"/>
      <c r="O160" s="598"/>
      <c r="P160" s="90">
        <v>20</v>
      </c>
      <c r="Q160" s="71">
        <v>0</v>
      </c>
      <c r="R160" s="71">
        <v>1102270</v>
      </c>
      <c r="S160" s="71">
        <v>2150748</v>
      </c>
      <c r="T160" s="71">
        <v>5660145</v>
      </c>
      <c r="U160" s="71">
        <v>9693577</v>
      </c>
      <c r="V160" s="71">
        <v>0</v>
      </c>
      <c r="X160" s="90">
        <f t="shared" si="85"/>
        <v>0</v>
      </c>
      <c r="Y160" s="90">
        <f t="shared" si="85"/>
        <v>0</v>
      </c>
      <c r="Z160" s="90">
        <f t="shared" si="85"/>
        <v>0</v>
      </c>
      <c r="AA160" s="90">
        <f t="shared" si="85"/>
        <v>0</v>
      </c>
      <c r="AB160" s="90">
        <f t="shared" si="85"/>
        <v>0</v>
      </c>
      <c r="AC160" s="90">
        <f t="shared" si="85"/>
        <v>0</v>
      </c>
      <c r="AE160" s="71">
        <f t="shared" si="86"/>
        <v>0</v>
      </c>
      <c r="AF160" s="71">
        <f t="shared" si="86"/>
        <v>0</v>
      </c>
      <c r="AG160" s="71">
        <f t="shared" si="86"/>
        <v>0</v>
      </c>
      <c r="AH160" s="71">
        <f t="shared" si="86"/>
        <v>0</v>
      </c>
      <c r="AI160" s="71">
        <f t="shared" si="86"/>
        <v>0</v>
      </c>
      <c r="AJ160" s="71">
        <f t="shared" si="86"/>
        <v>0</v>
      </c>
    </row>
    <row r="161" spans="2:36">
      <c r="B161" s="597"/>
      <c r="C161" s="597"/>
      <c r="D161" s="597"/>
      <c r="E161" s="597"/>
      <c r="F161" s="597"/>
      <c r="G161" s="597"/>
      <c r="I161" s="597"/>
      <c r="J161" s="597"/>
      <c r="K161" s="597"/>
      <c r="L161" s="597"/>
      <c r="M161" s="597"/>
      <c r="N161" s="597"/>
      <c r="O161" s="598"/>
      <c r="P161" s="90">
        <v>20</v>
      </c>
      <c r="Q161" s="71">
        <v>0</v>
      </c>
      <c r="R161" s="71">
        <v>1102270</v>
      </c>
      <c r="S161" s="71">
        <v>2150748</v>
      </c>
      <c r="T161" s="71">
        <v>5660145</v>
      </c>
      <c r="U161" s="71">
        <v>9693577</v>
      </c>
      <c r="V161" s="71">
        <v>0</v>
      </c>
      <c r="X161" s="90">
        <f t="shared" si="85"/>
        <v>0</v>
      </c>
      <c r="Y161" s="90">
        <f t="shared" si="85"/>
        <v>0</v>
      </c>
      <c r="Z161" s="90">
        <f t="shared" si="85"/>
        <v>0</v>
      </c>
      <c r="AA161" s="90">
        <f t="shared" si="85"/>
        <v>0</v>
      </c>
      <c r="AB161" s="90">
        <f t="shared" si="85"/>
        <v>0</v>
      </c>
      <c r="AC161" s="90">
        <f t="shared" si="85"/>
        <v>0</v>
      </c>
      <c r="AE161" s="71">
        <f t="shared" si="86"/>
        <v>0</v>
      </c>
      <c r="AF161" s="71">
        <f t="shared" si="86"/>
        <v>0</v>
      </c>
      <c r="AG161" s="71">
        <f t="shared" si="86"/>
        <v>0</v>
      </c>
      <c r="AH161" s="71">
        <f t="shared" si="86"/>
        <v>0</v>
      </c>
      <c r="AI161" s="71">
        <f t="shared" si="86"/>
        <v>0</v>
      </c>
      <c r="AJ161" s="71">
        <f t="shared" si="86"/>
        <v>0</v>
      </c>
    </row>
    <row r="162" spans="2:36">
      <c r="B162" s="597"/>
      <c r="C162" s="597"/>
      <c r="D162" s="597"/>
      <c r="E162" s="597"/>
      <c r="F162" s="597"/>
      <c r="G162" s="597"/>
      <c r="I162" s="597"/>
      <c r="J162" s="597"/>
      <c r="K162" s="597"/>
      <c r="L162" s="597"/>
      <c r="M162" s="597"/>
      <c r="N162" s="597"/>
      <c r="O162" s="598"/>
      <c r="P162" s="90">
        <v>20</v>
      </c>
      <c r="Q162" s="71">
        <v>0</v>
      </c>
      <c r="R162" s="71">
        <v>1102270</v>
      </c>
      <c r="S162" s="71">
        <v>2150748</v>
      </c>
      <c r="T162" s="71">
        <v>5660145</v>
      </c>
      <c r="U162" s="71">
        <v>9693577</v>
      </c>
      <c r="V162" s="71">
        <v>0</v>
      </c>
      <c r="X162" s="90">
        <f t="shared" si="85"/>
        <v>0</v>
      </c>
      <c r="Y162" s="90">
        <f t="shared" si="85"/>
        <v>0</v>
      </c>
      <c r="Z162" s="90">
        <f t="shared" si="85"/>
        <v>0</v>
      </c>
      <c r="AA162" s="90">
        <f t="shared" si="85"/>
        <v>0</v>
      </c>
      <c r="AB162" s="90">
        <f t="shared" si="85"/>
        <v>0</v>
      </c>
      <c r="AC162" s="90">
        <f t="shared" si="85"/>
        <v>0</v>
      </c>
      <c r="AE162" s="71">
        <f t="shared" si="86"/>
        <v>0</v>
      </c>
      <c r="AF162" s="71">
        <f t="shared" si="86"/>
        <v>0</v>
      </c>
      <c r="AG162" s="71">
        <f t="shared" si="86"/>
        <v>0</v>
      </c>
      <c r="AH162" s="71">
        <f t="shared" si="86"/>
        <v>0</v>
      </c>
      <c r="AI162" s="71">
        <f t="shared" si="86"/>
        <v>0</v>
      </c>
      <c r="AJ162" s="71">
        <f t="shared" si="86"/>
        <v>0</v>
      </c>
    </row>
    <row r="163" spans="2:36">
      <c r="B163" s="597"/>
      <c r="C163" s="597"/>
      <c r="D163" s="597"/>
      <c r="E163" s="597"/>
      <c r="F163" s="597"/>
      <c r="G163" s="597"/>
      <c r="I163" s="597"/>
      <c r="J163" s="597"/>
      <c r="K163" s="597"/>
      <c r="L163" s="597"/>
      <c r="M163" s="597"/>
      <c r="N163" s="597"/>
      <c r="O163" s="598"/>
      <c r="P163" s="90">
        <v>20</v>
      </c>
      <c r="Q163" s="71">
        <v>0</v>
      </c>
      <c r="R163" s="71">
        <v>1102270</v>
      </c>
      <c r="S163" s="71">
        <v>2150748</v>
      </c>
      <c r="T163" s="71">
        <v>5660145</v>
      </c>
      <c r="U163" s="71">
        <v>9693577</v>
      </c>
      <c r="V163" s="71">
        <v>0</v>
      </c>
      <c r="X163" s="90">
        <f t="shared" si="85"/>
        <v>0</v>
      </c>
      <c r="Y163" s="90">
        <f t="shared" si="85"/>
        <v>0</v>
      </c>
      <c r="Z163" s="90">
        <f t="shared" si="85"/>
        <v>0</v>
      </c>
      <c r="AA163" s="90">
        <f t="shared" si="85"/>
        <v>0</v>
      </c>
      <c r="AB163" s="90">
        <f t="shared" si="85"/>
        <v>0</v>
      </c>
      <c r="AC163" s="90">
        <f t="shared" si="85"/>
        <v>0</v>
      </c>
      <c r="AE163" s="71">
        <f t="shared" si="86"/>
        <v>0</v>
      </c>
      <c r="AF163" s="71">
        <f t="shared" si="86"/>
        <v>0</v>
      </c>
      <c r="AG163" s="71">
        <f t="shared" si="86"/>
        <v>0</v>
      </c>
      <c r="AH163" s="71">
        <f t="shared" si="86"/>
        <v>0</v>
      </c>
      <c r="AI163" s="71">
        <f t="shared" si="86"/>
        <v>0</v>
      </c>
      <c r="AJ163" s="71">
        <f t="shared" si="86"/>
        <v>0</v>
      </c>
    </row>
    <row r="164" spans="2:36">
      <c r="B164" s="597"/>
      <c r="C164" s="597"/>
      <c r="D164" s="597"/>
      <c r="E164" s="597"/>
      <c r="F164" s="597"/>
      <c r="G164" s="597"/>
      <c r="I164" s="597"/>
      <c r="J164" s="597"/>
      <c r="K164" s="597"/>
      <c r="L164" s="597"/>
      <c r="M164" s="597"/>
      <c r="N164" s="597"/>
      <c r="O164" s="598"/>
      <c r="P164" s="90">
        <v>20</v>
      </c>
      <c r="Q164" s="71">
        <v>0</v>
      </c>
      <c r="R164" s="71">
        <v>1102270</v>
      </c>
      <c r="S164" s="71">
        <v>2150748</v>
      </c>
      <c r="T164" s="71">
        <v>5660145</v>
      </c>
      <c r="U164" s="71">
        <v>9693577</v>
      </c>
      <c r="V164" s="71">
        <v>0</v>
      </c>
      <c r="X164" s="90">
        <f t="shared" si="85"/>
        <v>0</v>
      </c>
      <c r="Y164" s="90">
        <f t="shared" si="85"/>
        <v>0</v>
      </c>
      <c r="Z164" s="90">
        <f t="shared" si="85"/>
        <v>0</v>
      </c>
      <c r="AA164" s="90">
        <f t="shared" si="85"/>
        <v>0</v>
      </c>
      <c r="AB164" s="90">
        <f t="shared" si="85"/>
        <v>0</v>
      </c>
      <c r="AC164" s="90">
        <f t="shared" si="85"/>
        <v>0</v>
      </c>
      <c r="AE164" s="71">
        <f t="shared" si="86"/>
        <v>0</v>
      </c>
      <c r="AF164" s="71">
        <f t="shared" si="86"/>
        <v>0</v>
      </c>
      <c r="AG164" s="71">
        <f t="shared" si="86"/>
        <v>0</v>
      </c>
      <c r="AH164" s="71">
        <f t="shared" si="86"/>
        <v>0</v>
      </c>
      <c r="AI164" s="71">
        <f t="shared" si="86"/>
        <v>0</v>
      </c>
      <c r="AJ164" s="71">
        <f t="shared" si="86"/>
        <v>0</v>
      </c>
    </row>
    <row r="165" spans="2:36" s="599" customFormat="1">
      <c r="B165" s="600"/>
      <c r="C165" s="600"/>
      <c r="D165" s="600"/>
      <c r="E165" s="600"/>
      <c r="F165" s="600"/>
      <c r="G165" s="600"/>
      <c r="I165" s="600"/>
      <c r="J165" s="600"/>
      <c r="K165" s="600"/>
      <c r="L165" s="600"/>
      <c r="M165" s="600"/>
      <c r="N165" s="600"/>
      <c r="O165" s="601"/>
      <c r="P165" s="599">
        <v>20</v>
      </c>
      <c r="Q165" s="602">
        <v>0</v>
      </c>
      <c r="R165" s="602">
        <v>1102270</v>
      </c>
      <c r="S165" s="602">
        <v>2150748</v>
      </c>
      <c r="T165" s="602">
        <v>5660145</v>
      </c>
      <c r="U165" s="602">
        <v>9693577</v>
      </c>
      <c r="V165" s="602">
        <v>0</v>
      </c>
      <c r="X165" s="599">
        <f t="shared" si="85"/>
        <v>0</v>
      </c>
      <c r="Y165" s="599">
        <f t="shared" si="85"/>
        <v>0</v>
      </c>
      <c r="Z165" s="599">
        <f t="shared" si="85"/>
        <v>0</v>
      </c>
      <c r="AA165" s="599">
        <f t="shared" si="85"/>
        <v>0</v>
      </c>
      <c r="AB165" s="599">
        <f t="shared" si="85"/>
        <v>0</v>
      </c>
      <c r="AC165" s="599">
        <f t="shared" si="85"/>
        <v>0</v>
      </c>
      <c r="AE165" s="602">
        <f t="shared" si="86"/>
        <v>0</v>
      </c>
      <c r="AF165" s="602">
        <f t="shared" si="86"/>
        <v>0</v>
      </c>
      <c r="AG165" s="602">
        <f t="shared" si="86"/>
        <v>0</v>
      </c>
      <c r="AH165" s="602">
        <f t="shared" si="86"/>
        <v>0</v>
      </c>
      <c r="AI165" s="602">
        <f t="shared" si="86"/>
        <v>0</v>
      </c>
      <c r="AJ165" s="602">
        <f t="shared" si="86"/>
        <v>0</v>
      </c>
    </row>
    <row r="166" spans="2:36" s="605" customFormat="1">
      <c r="B166" s="604"/>
      <c r="C166" s="604"/>
      <c r="D166" s="604"/>
      <c r="E166" s="604"/>
      <c r="F166" s="604"/>
      <c r="G166" s="604"/>
      <c r="I166" s="604"/>
      <c r="J166" s="604"/>
      <c r="K166" s="604"/>
      <c r="L166" s="604"/>
      <c r="M166" s="604"/>
      <c r="N166" s="604"/>
      <c r="O166" s="606"/>
      <c r="P166" s="605">
        <v>21</v>
      </c>
      <c r="Q166" s="607">
        <v>0</v>
      </c>
      <c r="R166" s="607">
        <v>0</v>
      </c>
      <c r="S166" s="607">
        <v>0</v>
      </c>
      <c r="T166" s="607">
        <v>0</v>
      </c>
      <c r="U166" s="607">
        <v>0</v>
      </c>
      <c r="V166" s="607">
        <v>0</v>
      </c>
      <c r="X166" s="605">
        <f t="shared" si="85"/>
        <v>0</v>
      </c>
      <c r="Y166" s="605">
        <f t="shared" si="85"/>
        <v>0</v>
      </c>
      <c r="Z166" s="605">
        <f t="shared" si="85"/>
        <v>0</v>
      </c>
      <c r="AA166" s="605">
        <f t="shared" si="85"/>
        <v>0</v>
      </c>
      <c r="AB166" s="605">
        <f t="shared" si="85"/>
        <v>0</v>
      </c>
      <c r="AC166" s="605">
        <f t="shared" si="85"/>
        <v>0</v>
      </c>
      <c r="AE166" s="607">
        <f t="shared" si="86"/>
        <v>0</v>
      </c>
      <c r="AF166" s="607">
        <f t="shared" si="86"/>
        <v>0</v>
      </c>
      <c r="AG166" s="607">
        <f t="shared" si="86"/>
        <v>0</v>
      </c>
      <c r="AH166" s="607">
        <f t="shared" si="86"/>
        <v>0</v>
      </c>
      <c r="AI166" s="607">
        <f t="shared" si="86"/>
        <v>0</v>
      </c>
      <c r="AJ166" s="607">
        <f t="shared" si="86"/>
        <v>0</v>
      </c>
    </row>
    <row r="167" spans="2:36">
      <c r="B167" s="597"/>
      <c r="C167" s="597"/>
      <c r="D167" s="597"/>
      <c r="E167" s="597"/>
      <c r="F167" s="597"/>
      <c r="G167" s="597"/>
      <c r="I167" s="597"/>
      <c r="J167" s="597"/>
      <c r="K167" s="597"/>
      <c r="L167" s="597"/>
      <c r="M167" s="597"/>
      <c r="N167" s="597"/>
      <c r="O167" s="598"/>
      <c r="P167" s="90">
        <v>21</v>
      </c>
      <c r="Q167" s="71">
        <v>0</v>
      </c>
      <c r="R167" s="71">
        <v>0</v>
      </c>
      <c r="S167" s="71">
        <v>0</v>
      </c>
      <c r="T167" s="71">
        <v>0</v>
      </c>
      <c r="U167" s="71">
        <v>0</v>
      </c>
      <c r="V167" s="71">
        <v>0</v>
      </c>
      <c r="X167" s="90">
        <f t="shared" si="85"/>
        <v>0</v>
      </c>
      <c r="Y167" s="90">
        <f t="shared" si="85"/>
        <v>0</v>
      </c>
      <c r="Z167" s="90">
        <f t="shared" si="85"/>
        <v>0</v>
      </c>
      <c r="AA167" s="90">
        <f t="shared" si="85"/>
        <v>0</v>
      </c>
      <c r="AB167" s="90">
        <f t="shared" si="85"/>
        <v>0</v>
      </c>
      <c r="AC167" s="90">
        <f t="shared" si="85"/>
        <v>0</v>
      </c>
      <c r="AE167" s="71">
        <f t="shared" si="86"/>
        <v>0</v>
      </c>
      <c r="AF167" s="71">
        <f t="shared" si="86"/>
        <v>0</v>
      </c>
      <c r="AG167" s="71">
        <f t="shared" si="86"/>
        <v>0</v>
      </c>
      <c r="AH167" s="71">
        <f t="shared" si="86"/>
        <v>0</v>
      </c>
      <c r="AI167" s="71">
        <f t="shared" si="86"/>
        <v>0</v>
      </c>
      <c r="AJ167" s="71">
        <f t="shared" si="86"/>
        <v>0</v>
      </c>
    </row>
    <row r="168" spans="2:36">
      <c r="B168" s="597"/>
      <c r="C168" s="597"/>
      <c r="D168" s="597"/>
      <c r="E168" s="597"/>
      <c r="F168" s="597"/>
      <c r="G168" s="597"/>
      <c r="I168" s="597"/>
      <c r="J168" s="597"/>
      <c r="K168" s="597"/>
      <c r="L168" s="597"/>
      <c r="M168" s="597"/>
      <c r="N168" s="597"/>
      <c r="O168" s="598"/>
      <c r="P168" s="90">
        <v>21</v>
      </c>
      <c r="Q168" s="71">
        <v>0</v>
      </c>
      <c r="R168" s="71">
        <v>0</v>
      </c>
      <c r="S168" s="71">
        <v>0</v>
      </c>
      <c r="T168" s="71">
        <v>0</v>
      </c>
      <c r="U168" s="71">
        <v>0</v>
      </c>
      <c r="V168" s="71">
        <v>0</v>
      </c>
      <c r="X168" s="90">
        <f t="shared" si="85"/>
        <v>0</v>
      </c>
      <c r="Y168" s="90">
        <f t="shared" si="85"/>
        <v>0</v>
      </c>
      <c r="Z168" s="90">
        <f t="shared" si="85"/>
        <v>0</v>
      </c>
      <c r="AA168" s="90">
        <f t="shared" si="85"/>
        <v>0</v>
      </c>
      <c r="AB168" s="90">
        <f t="shared" si="85"/>
        <v>0</v>
      </c>
      <c r="AC168" s="90">
        <f t="shared" si="85"/>
        <v>0</v>
      </c>
      <c r="AE168" s="71">
        <f t="shared" si="86"/>
        <v>0</v>
      </c>
      <c r="AF168" s="71">
        <f t="shared" si="86"/>
        <v>0</v>
      </c>
      <c r="AG168" s="71">
        <f t="shared" si="86"/>
        <v>0</v>
      </c>
      <c r="AH168" s="71">
        <f t="shared" si="86"/>
        <v>0</v>
      </c>
      <c r="AI168" s="71">
        <f t="shared" si="86"/>
        <v>0</v>
      </c>
      <c r="AJ168" s="71">
        <f t="shared" si="86"/>
        <v>0</v>
      </c>
    </row>
    <row r="169" spans="2:36">
      <c r="B169" s="597"/>
      <c r="C169" s="597"/>
      <c r="D169" s="597"/>
      <c r="E169" s="597"/>
      <c r="F169" s="597"/>
      <c r="G169" s="597"/>
      <c r="I169" s="597"/>
      <c r="J169" s="597"/>
      <c r="K169" s="597"/>
      <c r="L169" s="597"/>
      <c r="M169" s="597"/>
      <c r="N169" s="597"/>
      <c r="O169" s="598"/>
      <c r="P169" s="90">
        <v>21</v>
      </c>
      <c r="Q169" s="71">
        <v>0</v>
      </c>
      <c r="R169" s="71">
        <v>0</v>
      </c>
      <c r="S169" s="71">
        <v>0</v>
      </c>
      <c r="T169" s="71">
        <v>0</v>
      </c>
      <c r="U169" s="71">
        <v>0</v>
      </c>
      <c r="V169" s="71">
        <v>0</v>
      </c>
      <c r="X169" s="90">
        <f t="shared" si="85"/>
        <v>0</v>
      </c>
      <c r="Y169" s="90">
        <f t="shared" si="85"/>
        <v>0</v>
      </c>
      <c r="Z169" s="90">
        <f t="shared" si="85"/>
        <v>0</v>
      </c>
      <c r="AA169" s="90">
        <f t="shared" si="85"/>
        <v>0</v>
      </c>
      <c r="AB169" s="90">
        <f t="shared" si="85"/>
        <v>0</v>
      </c>
      <c r="AC169" s="90">
        <f t="shared" si="85"/>
        <v>0</v>
      </c>
      <c r="AE169" s="71">
        <f t="shared" si="86"/>
        <v>0</v>
      </c>
      <c r="AF169" s="71">
        <f t="shared" si="86"/>
        <v>0</v>
      </c>
      <c r="AG169" s="71">
        <f t="shared" si="86"/>
        <v>0</v>
      </c>
      <c r="AH169" s="71">
        <f t="shared" si="86"/>
        <v>0</v>
      </c>
      <c r="AI169" s="71">
        <f t="shared" si="86"/>
        <v>0</v>
      </c>
      <c r="AJ169" s="71">
        <f t="shared" si="86"/>
        <v>0</v>
      </c>
    </row>
    <row r="170" spans="2:36">
      <c r="B170" s="597"/>
      <c r="C170" s="597"/>
      <c r="D170" s="597"/>
      <c r="E170" s="597"/>
      <c r="F170" s="597"/>
      <c r="G170" s="597"/>
      <c r="I170" s="597"/>
      <c r="J170" s="597"/>
      <c r="K170" s="597"/>
      <c r="L170" s="597"/>
      <c r="M170" s="597"/>
      <c r="N170" s="597"/>
      <c r="O170" s="598"/>
      <c r="P170" s="90">
        <v>21</v>
      </c>
      <c r="Q170" s="71">
        <v>0</v>
      </c>
      <c r="R170" s="71">
        <v>0</v>
      </c>
      <c r="S170" s="71">
        <v>0</v>
      </c>
      <c r="T170" s="71">
        <v>0</v>
      </c>
      <c r="U170" s="71">
        <v>0</v>
      </c>
      <c r="V170" s="71">
        <v>0</v>
      </c>
      <c r="X170" s="90">
        <f t="shared" si="85"/>
        <v>0</v>
      </c>
      <c r="Y170" s="90">
        <f t="shared" si="85"/>
        <v>0</v>
      </c>
      <c r="Z170" s="90">
        <f t="shared" si="85"/>
        <v>0</v>
      </c>
      <c r="AA170" s="90">
        <f t="shared" si="85"/>
        <v>0</v>
      </c>
      <c r="AB170" s="90">
        <f t="shared" si="85"/>
        <v>0</v>
      </c>
      <c r="AC170" s="90">
        <f t="shared" si="85"/>
        <v>0</v>
      </c>
      <c r="AE170" s="71">
        <f t="shared" si="86"/>
        <v>0</v>
      </c>
      <c r="AF170" s="71">
        <f t="shared" si="86"/>
        <v>0</v>
      </c>
      <c r="AG170" s="71">
        <f t="shared" si="86"/>
        <v>0</v>
      </c>
      <c r="AH170" s="71">
        <f t="shared" si="86"/>
        <v>0</v>
      </c>
      <c r="AI170" s="71">
        <f t="shared" si="86"/>
        <v>0</v>
      </c>
      <c r="AJ170" s="71">
        <f t="shared" si="86"/>
        <v>0</v>
      </c>
    </row>
    <row r="171" spans="2:36">
      <c r="B171" s="597"/>
      <c r="C171" s="597"/>
      <c r="D171" s="597"/>
      <c r="E171" s="597"/>
      <c r="F171" s="597"/>
      <c r="G171" s="597"/>
      <c r="I171" s="597"/>
      <c r="J171" s="597"/>
      <c r="K171" s="597"/>
      <c r="L171" s="597"/>
      <c r="M171" s="597"/>
      <c r="N171" s="597"/>
      <c r="O171" s="598"/>
      <c r="P171" s="90">
        <v>21</v>
      </c>
      <c r="Q171" s="71">
        <v>0</v>
      </c>
      <c r="R171" s="71">
        <v>0</v>
      </c>
      <c r="S171" s="71">
        <v>0</v>
      </c>
      <c r="T171" s="71">
        <v>0</v>
      </c>
      <c r="U171" s="71">
        <v>0</v>
      </c>
      <c r="V171" s="71">
        <v>0</v>
      </c>
      <c r="X171" s="90">
        <f t="shared" si="85"/>
        <v>0</v>
      </c>
      <c r="Y171" s="90">
        <f t="shared" si="85"/>
        <v>0</v>
      </c>
      <c r="Z171" s="90">
        <f t="shared" si="85"/>
        <v>0</v>
      </c>
      <c r="AA171" s="90">
        <f t="shared" ref="AA171:AC234" si="87">E171*T171</f>
        <v>0</v>
      </c>
      <c r="AB171" s="90">
        <f t="shared" si="87"/>
        <v>0</v>
      </c>
      <c r="AC171" s="90">
        <f t="shared" si="87"/>
        <v>0</v>
      </c>
      <c r="AE171" s="71">
        <f t="shared" si="86"/>
        <v>0</v>
      </c>
      <c r="AF171" s="71">
        <f t="shared" si="86"/>
        <v>0</v>
      </c>
      <c r="AG171" s="71">
        <f t="shared" si="86"/>
        <v>0</v>
      </c>
      <c r="AH171" s="71">
        <f t="shared" ref="AH171:AJ234" si="88">L171*T171</f>
        <v>0</v>
      </c>
      <c r="AI171" s="71">
        <f t="shared" si="88"/>
        <v>0</v>
      </c>
      <c r="AJ171" s="71">
        <f t="shared" si="88"/>
        <v>0</v>
      </c>
    </row>
    <row r="172" spans="2:36">
      <c r="B172" s="597"/>
      <c r="C172" s="597"/>
      <c r="D172" s="597"/>
      <c r="E172" s="597"/>
      <c r="F172" s="597"/>
      <c r="G172" s="597"/>
      <c r="I172" s="597"/>
      <c r="J172" s="597"/>
      <c r="K172" s="597"/>
      <c r="L172" s="597"/>
      <c r="M172" s="597"/>
      <c r="N172" s="597"/>
      <c r="O172" s="598"/>
      <c r="P172" s="90">
        <v>21</v>
      </c>
      <c r="Q172" s="71">
        <v>0</v>
      </c>
      <c r="R172" s="71">
        <v>0</v>
      </c>
      <c r="S172" s="71">
        <v>0</v>
      </c>
      <c r="T172" s="71">
        <v>0</v>
      </c>
      <c r="U172" s="71">
        <v>0</v>
      </c>
      <c r="V172" s="71">
        <v>0</v>
      </c>
      <c r="X172" s="90">
        <f t="shared" ref="X172:AC235" si="89">B172*Q172</f>
        <v>0</v>
      </c>
      <c r="Y172" s="90">
        <f t="shared" si="89"/>
        <v>0</v>
      </c>
      <c r="Z172" s="90">
        <f t="shared" si="89"/>
        <v>0</v>
      </c>
      <c r="AA172" s="90">
        <f t="shared" si="87"/>
        <v>0</v>
      </c>
      <c r="AB172" s="90">
        <f t="shared" si="87"/>
        <v>0</v>
      </c>
      <c r="AC172" s="90">
        <f t="shared" si="87"/>
        <v>0</v>
      </c>
      <c r="AE172" s="71">
        <f t="shared" ref="AE172:AJ235" si="90">I172*Q172</f>
        <v>0</v>
      </c>
      <c r="AF172" s="71">
        <f t="shared" si="90"/>
        <v>0</v>
      </c>
      <c r="AG172" s="71">
        <f t="shared" si="90"/>
        <v>0</v>
      </c>
      <c r="AH172" s="71">
        <f t="shared" si="88"/>
        <v>0</v>
      </c>
      <c r="AI172" s="71">
        <f t="shared" si="88"/>
        <v>0</v>
      </c>
      <c r="AJ172" s="71">
        <f t="shared" si="88"/>
        <v>0</v>
      </c>
    </row>
    <row r="173" spans="2:36" s="599" customFormat="1">
      <c r="B173" s="600"/>
      <c r="C173" s="600"/>
      <c r="D173" s="600"/>
      <c r="E173" s="600"/>
      <c r="F173" s="600"/>
      <c r="G173" s="600"/>
      <c r="I173" s="600"/>
      <c r="J173" s="600"/>
      <c r="K173" s="600"/>
      <c r="L173" s="600"/>
      <c r="M173" s="600"/>
      <c r="N173" s="600"/>
      <c r="O173" s="601"/>
      <c r="P173" s="599">
        <v>21</v>
      </c>
      <c r="Q173" s="602">
        <v>0</v>
      </c>
      <c r="R173" s="602">
        <v>0</v>
      </c>
      <c r="S173" s="602">
        <v>0</v>
      </c>
      <c r="T173" s="602">
        <v>0</v>
      </c>
      <c r="U173" s="602">
        <v>0</v>
      </c>
      <c r="V173" s="602">
        <v>0</v>
      </c>
      <c r="X173" s="599">
        <f t="shared" si="89"/>
        <v>0</v>
      </c>
      <c r="Y173" s="599">
        <f t="shared" si="89"/>
        <v>0</v>
      </c>
      <c r="Z173" s="599">
        <f t="shared" si="89"/>
        <v>0</v>
      </c>
      <c r="AA173" s="599">
        <f t="shared" si="87"/>
        <v>0</v>
      </c>
      <c r="AB173" s="599">
        <f t="shared" si="87"/>
        <v>0</v>
      </c>
      <c r="AC173" s="599">
        <f t="shared" si="87"/>
        <v>0</v>
      </c>
      <c r="AE173" s="602">
        <f t="shared" si="90"/>
        <v>0</v>
      </c>
      <c r="AF173" s="602">
        <f t="shared" si="90"/>
        <v>0</v>
      </c>
      <c r="AG173" s="602">
        <f t="shared" si="90"/>
        <v>0</v>
      </c>
      <c r="AH173" s="602">
        <f t="shared" si="88"/>
        <v>0</v>
      </c>
      <c r="AI173" s="602">
        <f t="shared" si="88"/>
        <v>0</v>
      </c>
      <c r="AJ173" s="602">
        <f t="shared" si="88"/>
        <v>0</v>
      </c>
    </row>
    <row r="174" spans="2:36" s="605" customFormat="1">
      <c r="B174" s="604"/>
      <c r="C174" s="604"/>
      <c r="D174" s="604"/>
      <c r="E174" s="604"/>
      <c r="F174" s="604"/>
      <c r="G174" s="604"/>
      <c r="I174" s="604"/>
      <c r="J174" s="604"/>
      <c r="K174" s="604"/>
      <c r="L174" s="604"/>
      <c r="M174" s="604"/>
      <c r="N174" s="604"/>
      <c r="O174" s="606"/>
      <c r="P174" s="605">
        <v>22</v>
      </c>
      <c r="Q174" s="607">
        <v>0</v>
      </c>
      <c r="R174" s="607">
        <v>337</v>
      </c>
      <c r="S174" s="607">
        <v>867</v>
      </c>
      <c r="T174" s="607">
        <v>1786</v>
      </c>
      <c r="U174" s="607">
        <v>2758</v>
      </c>
      <c r="V174" s="607">
        <v>0</v>
      </c>
      <c r="X174" s="605">
        <f t="shared" si="89"/>
        <v>0</v>
      </c>
      <c r="Y174" s="605">
        <f t="shared" si="89"/>
        <v>0</v>
      </c>
      <c r="Z174" s="605">
        <f t="shared" si="89"/>
        <v>0</v>
      </c>
      <c r="AA174" s="605">
        <f t="shared" si="87"/>
        <v>0</v>
      </c>
      <c r="AB174" s="605">
        <f t="shared" si="87"/>
        <v>0</v>
      </c>
      <c r="AC174" s="605">
        <f t="shared" si="87"/>
        <v>0</v>
      </c>
      <c r="AE174" s="607">
        <f t="shared" si="90"/>
        <v>0</v>
      </c>
      <c r="AF174" s="607">
        <f t="shared" si="90"/>
        <v>0</v>
      </c>
      <c r="AG174" s="607">
        <f t="shared" si="90"/>
        <v>0</v>
      </c>
      <c r="AH174" s="607">
        <f t="shared" si="88"/>
        <v>0</v>
      </c>
      <c r="AI174" s="607">
        <f t="shared" si="88"/>
        <v>0</v>
      </c>
      <c r="AJ174" s="607">
        <f t="shared" si="88"/>
        <v>0</v>
      </c>
    </row>
    <row r="175" spans="2:36">
      <c r="B175" s="597"/>
      <c r="C175" s="597"/>
      <c r="D175" s="597"/>
      <c r="E175" s="597"/>
      <c r="F175" s="597"/>
      <c r="G175" s="597"/>
      <c r="I175" s="597"/>
      <c r="J175" s="597"/>
      <c r="K175" s="597"/>
      <c r="L175" s="597"/>
      <c r="M175" s="597"/>
      <c r="N175" s="597"/>
      <c r="O175" s="598"/>
      <c r="P175" s="90">
        <v>22</v>
      </c>
      <c r="Q175" s="71">
        <v>0</v>
      </c>
      <c r="R175" s="71">
        <v>337</v>
      </c>
      <c r="S175" s="71">
        <v>867</v>
      </c>
      <c r="T175" s="71">
        <v>1786</v>
      </c>
      <c r="U175" s="71">
        <v>2758</v>
      </c>
      <c r="V175" s="71">
        <v>0</v>
      </c>
      <c r="X175" s="90">
        <f t="shared" si="89"/>
        <v>0</v>
      </c>
      <c r="Y175" s="90">
        <f t="shared" si="89"/>
        <v>0</v>
      </c>
      <c r="Z175" s="90">
        <f t="shared" si="89"/>
        <v>0</v>
      </c>
      <c r="AA175" s="90">
        <f t="shared" si="87"/>
        <v>0</v>
      </c>
      <c r="AB175" s="90">
        <f t="shared" si="87"/>
        <v>0</v>
      </c>
      <c r="AC175" s="90">
        <f t="shared" si="87"/>
        <v>0</v>
      </c>
      <c r="AE175" s="71">
        <f t="shared" si="90"/>
        <v>0</v>
      </c>
      <c r="AF175" s="71">
        <f t="shared" si="90"/>
        <v>0</v>
      </c>
      <c r="AG175" s="71">
        <f t="shared" si="90"/>
        <v>0</v>
      </c>
      <c r="AH175" s="71">
        <f t="shared" si="88"/>
        <v>0</v>
      </c>
      <c r="AI175" s="71">
        <f t="shared" si="88"/>
        <v>0</v>
      </c>
      <c r="AJ175" s="71">
        <f t="shared" si="88"/>
        <v>0</v>
      </c>
    </row>
    <row r="176" spans="2:36">
      <c r="B176" s="597"/>
      <c r="C176" s="597"/>
      <c r="D176" s="597"/>
      <c r="E176" s="597"/>
      <c r="F176" s="597"/>
      <c r="G176" s="597"/>
      <c r="I176" s="597"/>
      <c r="J176" s="597"/>
      <c r="K176" s="597"/>
      <c r="L176" s="597"/>
      <c r="M176" s="597"/>
      <c r="N176" s="597"/>
      <c r="O176" s="598"/>
      <c r="P176" s="90">
        <v>22</v>
      </c>
      <c r="Q176" s="71">
        <v>0</v>
      </c>
      <c r="R176" s="71">
        <v>337</v>
      </c>
      <c r="S176" s="71">
        <v>867</v>
      </c>
      <c r="T176" s="71">
        <v>1786</v>
      </c>
      <c r="U176" s="71">
        <v>2758</v>
      </c>
      <c r="V176" s="71">
        <v>0</v>
      </c>
      <c r="X176" s="90">
        <f t="shared" si="89"/>
        <v>0</v>
      </c>
      <c r="Y176" s="90">
        <f t="shared" si="89"/>
        <v>0</v>
      </c>
      <c r="Z176" s="90">
        <f t="shared" si="89"/>
        <v>0</v>
      </c>
      <c r="AA176" s="90">
        <f t="shared" si="87"/>
        <v>0</v>
      </c>
      <c r="AB176" s="90">
        <f t="shared" si="87"/>
        <v>0</v>
      </c>
      <c r="AC176" s="90">
        <f t="shared" si="87"/>
        <v>0</v>
      </c>
      <c r="AE176" s="71">
        <f t="shared" si="90"/>
        <v>0</v>
      </c>
      <c r="AF176" s="71">
        <f t="shared" si="90"/>
        <v>0</v>
      </c>
      <c r="AG176" s="71">
        <f t="shared" si="90"/>
        <v>0</v>
      </c>
      <c r="AH176" s="71">
        <f t="shared" si="88"/>
        <v>0</v>
      </c>
      <c r="AI176" s="71">
        <f t="shared" si="88"/>
        <v>0</v>
      </c>
      <c r="AJ176" s="71">
        <f t="shared" si="88"/>
        <v>0</v>
      </c>
    </row>
    <row r="177" spans="2:36">
      <c r="B177" s="597"/>
      <c r="C177" s="597"/>
      <c r="D177" s="597"/>
      <c r="E177" s="597"/>
      <c r="F177" s="597"/>
      <c r="G177" s="597"/>
      <c r="I177" s="597"/>
      <c r="J177" s="597"/>
      <c r="K177" s="597"/>
      <c r="L177" s="597"/>
      <c r="M177" s="597"/>
      <c r="N177" s="597"/>
      <c r="O177" s="598"/>
      <c r="P177" s="90">
        <v>22</v>
      </c>
      <c r="Q177" s="71">
        <v>0</v>
      </c>
      <c r="R177" s="71">
        <v>337</v>
      </c>
      <c r="S177" s="71">
        <v>867</v>
      </c>
      <c r="T177" s="71">
        <v>1786</v>
      </c>
      <c r="U177" s="71">
        <v>2758</v>
      </c>
      <c r="V177" s="71">
        <v>0</v>
      </c>
      <c r="X177" s="90">
        <f t="shared" si="89"/>
        <v>0</v>
      </c>
      <c r="Y177" s="90">
        <f t="shared" si="89"/>
        <v>0</v>
      </c>
      <c r="Z177" s="90">
        <f t="shared" si="89"/>
        <v>0</v>
      </c>
      <c r="AA177" s="90">
        <f t="shared" si="87"/>
        <v>0</v>
      </c>
      <c r="AB177" s="90">
        <f t="shared" si="87"/>
        <v>0</v>
      </c>
      <c r="AC177" s="90">
        <f t="shared" si="87"/>
        <v>0</v>
      </c>
      <c r="AE177" s="71">
        <f t="shared" si="90"/>
        <v>0</v>
      </c>
      <c r="AF177" s="71">
        <f t="shared" si="90"/>
        <v>0</v>
      </c>
      <c r="AG177" s="71">
        <f t="shared" si="90"/>
        <v>0</v>
      </c>
      <c r="AH177" s="71">
        <f t="shared" si="88"/>
        <v>0</v>
      </c>
      <c r="AI177" s="71">
        <f t="shared" si="88"/>
        <v>0</v>
      </c>
      <c r="AJ177" s="71">
        <f t="shared" si="88"/>
        <v>0</v>
      </c>
    </row>
    <row r="178" spans="2:36">
      <c r="B178" s="597"/>
      <c r="C178" s="597"/>
      <c r="D178" s="597"/>
      <c r="E178" s="597"/>
      <c r="F178" s="597"/>
      <c r="G178" s="597"/>
      <c r="I178" s="597"/>
      <c r="J178" s="597"/>
      <c r="K178" s="597"/>
      <c r="L178" s="597"/>
      <c r="M178" s="597"/>
      <c r="N178" s="597"/>
      <c r="O178" s="598"/>
      <c r="P178" s="90">
        <v>22</v>
      </c>
      <c r="Q178" s="71">
        <v>0</v>
      </c>
      <c r="R178" s="71">
        <v>337</v>
      </c>
      <c r="S178" s="71">
        <v>867</v>
      </c>
      <c r="T178" s="71">
        <v>1786</v>
      </c>
      <c r="U178" s="71">
        <v>2758</v>
      </c>
      <c r="V178" s="71">
        <v>0</v>
      </c>
      <c r="X178" s="90">
        <f t="shared" si="89"/>
        <v>0</v>
      </c>
      <c r="Y178" s="90">
        <f t="shared" si="89"/>
        <v>0</v>
      </c>
      <c r="Z178" s="90">
        <f t="shared" si="89"/>
        <v>0</v>
      </c>
      <c r="AA178" s="90">
        <f t="shared" si="87"/>
        <v>0</v>
      </c>
      <c r="AB178" s="90">
        <f t="shared" si="87"/>
        <v>0</v>
      </c>
      <c r="AC178" s="90">
        <f t="shared" si="87"/>
        <v>0</v>
      </c>
      <c r="AE178" s="71">
        <f t="shared" si="90"/>
        <v>0</v>
      </c>
      <c r="AF178" s="71">
        <f t="shared" si="90"/>
        <v>0</v>
      </c>
      <c r="AG178" s="71">
        <f t="shared" si="90"/>
        <v>0</v>
      </c>
      <c r="AH178" s="71">
        <f t="shared" si="88"/>
        <v>0</v>
      </c>
      <c r="AI178" s="71">
        <f t="shared" si="88"/>
        <v>0</v>
      </c>
      <c r="AJ178" s="71">
        <f t="shared" si="88"/>
        <v>0</v>
      </c>
    </row>
    <row r="179" spans="2:36">
      <c r="B179" s="597"/>
      <c r="C179" s="597"/>
      <c r="D179" s="597"/>
      <c r="E179" s="597"/>
      <c r="F179" s="597"/>
      <c r="G179" s="597"/>
      <c r="I179" s="597"/>
      <c r="J179" s="597"/>
      <c r="K179" s="597"/>
      <c r="L179" s="597"/>
      <c r="M179" s="597"/>
      <c r="N179" s="597"/>
      <c r="O179" s="598"/>
      <c r="P179" s="90">
        <v>22</v>
      </c>
      <c r="Q179" s="71">
        <v>0</v>
      </c>
      <c r="R179" s="71">
        <v>337</v>
      </c>
      <c r="S179" s="71">
        <v>867</v>
      </c>
      <c r="T179" s="71">
        <v>1786</v>
      </c>
      <c r="U179" s="71">
        <v>2758</v>
      </c>
      <c r="V179" s="71">
        <v>0</v>
      </c>
      <c r="X179" s="90">
        <f t="shared" si="89"/>
        <v>0</v>
      </c>
      <c r="Y179" s="90">
        <f t="shared" si="89"/>
        <v>0</v>
      </c>
      <c r="Z179" s="90">
        <f t="shared" si="89"/>
        <v>0</v>
      </c>
      <c r="AA179" s="90">
        <f t="shared" si="87"/>
        <v>0</v>
      </c>
      <c r="AB179" s="90">
        <f t="shared" si="87"/>
        <v>0</v>
      </c>
      <c r="AC179" s="90">
        <f t="shared" si="87"/>
        <v>0</v>
      </c>
      <c r="AE179" s="71">
        <f t="shared" si="90"/>
        <v>0</v>
      </c>
      <c r="AF179" s="71">
        <f t="shared" si="90"/>
        <v>0</v>
      </c>
      <c r="AG179" s="71">
        <f t="shared" si="90"/>
        <v>0</v>
      </c>
      <c r="AH179" s="71">
        <f t="shared" si="88"/>
        <v>0</v>
      </c>
      <c r="AI179" s="71">
        <f t="shared" si="88"/>
        <v>0</v>
      </c>
      <c r="AJ179" s="71">
        <f t="shared" si="88"/>
        <v>0</v>
      </c>
    </row>
    <row r="180" spans="2:36">
      <c r="B180" s="597"/>
      <c r="C180" s="597"/>
      <c r="D180" s="597"/>
      <c r="E180" s="597"/>
      <c r="F180" s="597"/>
      <c r="G180" s="597"/>
      <c r="I180" s="597"/>
      <c r="J180" s="597"/>
      <c r="K180" s="597"/>
      <c r="L180" s="597"/>
      <c r="M180" s="597"/>
      <c r="N180" s="597"/>
      <c r="O180" s="598"/>
      <c r="P180" s="90">
        <v>22</v>
      </c>
      <c r="Q180" s="71">
        <v>0</v>
      </c>
      <c r="R180" s="71">
        <v>337</v>
      </c>
      <c r="S180" s="71">
        <v>867</v>
      </c>
      <c r="T180" s="71">
        <v>1786</v>
      </c>
      <c r="U180" s="71">
        <v>2758</v>
      </c>
      <c r="V180" s="71">
        <v>0</v>
      </c>
      <c r="X180" s="90">
        <f t="shared" si="89"/>
        <v>0</v>
      </c>
      <c r="Y180" s="90">
        <f t="shared" si="89"/>
        <v>0</v>
      </c>
      <c r="Z180" s="90">
        <f t="shared" si="89"/>
        <v>0</v>
      </c>
      <c r="AA180" s="90">
        <f t="shared" si="87"/>
        <v>0</v>
      </c>
      <c r="AB180" s="90">
        <f t="shared" si="87"/>
        <v>0</v>
      </c>
      <c r="AC180" s="90">
        <f t="shared" si="87"/>
        <v>0</v>
      </c>
      <c r="AE180" s="71">
        <f t="shared" si="90"/>
        <v>0</v>
      </c>
      <c r="AF180" s="71">
        <f t="shared" si="90"/>
        <v>0</v>
      </c>
      <c r="AG180" s="71">
        <f t="shared" si="90"/>
        <v>0</v>
      </c>
      <c r="AH180" s="71">
        <f t="shared" si="88"/>
        <v>0</v>
      </c>
      <c r="AI180" s="71">
        <f t="shared" si="88"/>
        <v>0</v>
      </c>
      <c r="AJ180" s="71">
        <f t="shared" si="88"/>
        <v>0</v>
      </c>
    </row>
    <row r="181" spans="2:36" s="599" customFormat="1">
      <c r="B181" s="600"/>
      <c r="C181" s="600"/>
      <c r="D181" s="600"/>
      <c r="E181" s="600"/>
      <c r="F181" s="600"/>
      <c r="G181" s="600"/>
      <c r="I181" s="600"/>
      <c r="J181" s="600"/>
      <c r="K181" s="600"/>
      <c r="L181" s="600"/>
      <c r="M181" s="600"/>
      <c r="N181" s="600"/>
      <c r="O181" s="601"/>
      <c r="P181" s="599">
        <v>22</v>
      </c>
      <c r="Q181" s="602">
        <v>0</v>
      </c>
      <c r="R181" s="602">
        <v>337</v>
      </c>
      <c r="S181" s="602">
        <v>867</v>
      </c>
      <c r="T181" s="602">
        <v>1786</v>
      </c>
      <c r="U181" s="602">
        <v>2758</v>
      </c>
      <c r="V181" s="602">
        <v>0</v>
      </c>
      <c r="X181" s="599">
        <f t="shared" si="89"/>
        <v>0</v>
      </c>
      <c r="Y181" s="599">
        <f t="shared" si="89"/>
        <v>0</v>
      </c>
      <c r="Z181" s="599">
        <f t="shared" si="89"/>
        <v>0</v>
      </c>
      <c r="AA181" s="599">
        <f t="shared" si="87"/>
        <v>0</v>
      </c>
      <c r="AB181" s="599">
        <f t="shared" si="87"/>
        <v>0</v>
      </c>
      <c r="AC181" s="599">
        <f t="shared" si="87"/>
        <v>0</v>
      </c>
      <c r="AE181" s="602">
        <f t="shared" si="90"/>
        <v>0</v>
      </c>
      <c r="AF181" s="602">
        <f t="shared" si="90"/>
        <v>0</v>
      </c>
      <c r="AG181" s="602">
        <f t="shared" si="90"/>
        <v>0</v>
      </c>
      <c r="AH181" s="602">
        <f t="shared" si="88"/>
        <v>0</v>
      </c>
      <c r="AI181" s="602">
        <f t="shared" si="88"/>
        <v>0</v>
      </c>
      <c r="AJ181" s="602">
        <f t="shared" si="88"/>
        <v>0</v>
      </c>
    </row>
    <row r="182" spans="2:36" s="605" customFormat="1">
      <c r="B182" s="604"/>
      <c r="C182" s="604"/>
      <c r="D182" s="604"/>
      <c r="E182" s="604"/>
      <c r="F182" s="604"/>
      <c r="G182" s="604"/>
      <c r="I182" s="604"/>
      <c r="J182" s="604"/>
      <c r="K182" s="604"/>
      <c r="L182" s="604"/>
      <c r="M182" s="604"/>
      <c r="N182" s="604"/>
      <c r="O182" s="606"/>
      <c r="P182" s="605">
        <v>23</v>
      </c>
      <c r="Q182" s="607">
        <v>0</v>
      </c>
      <c r="R182" s="607">
        <v>405</v>
      </c>
      <c r="S182" s="607">
        <v>651</v>
      </c>
      <c r="T182" s="607">
        <v>953</v>
      </c>
      <c r="U182" s="607">
        <v>1173</v>
      </c>
      <c r="V182" s="607">
        <v>0</v>
      </c>
      <c r="X182" s="605">
        <f t="shared" si="89"/>
        <v>0</v>
      </c>
      <c r="Y182" s="605">
        <f t="shared" si="89"/>
        <v>0</v>
      </c>
      <c r="Z182" s="605">
        <f t="shared" si="89"/>
        <v>0</v>
      </c>
      <c r="AA182" s="605">
        <f t="shared" si="87"/>
        <v>0</v>
      </c>
      <c r="AB182" s="605">
        <f t="shared" si="87"/>
        <v>0</v>
      </c>
      <c r="AC182" s="605">
        <f t="shared" si="87"/>
        <v>0</v>
      </c>
      <c r="AE182" s="607">
        <f t="shared" si="90"/>
        <v>0</v>
      </c>
      <c r="AF182" s="607">
        <f t="shared" si="90"/>
        <v>0</v>
      </c>
      <c r="AG182" s="607">
        <f t="shared" si="90"/>
        <v>0</v>
      </c>
      <c r="AH182" s="607">
        <f t="shared" si="88"/>
        <v>0</v>
      </c>
      <c r="AI182" s="607">
        <f t="shared" si="88"/>
        <v>0</v>
      </c>
      <c r="AJ182" s="607">
        <f t="shared" si="88"/>
        <v>0</v>
      </c>
    </row>
    <row r="183" spans="2:36">
      <c r="B183" s="597"/>
      <c r="C183" s="597"/>
      <c r="D183" s="597"/>
      <c r="E183" s="597"/>
      <c r="F183" s="597"/>
      <c r="G183" s="597"/>
      <c r="I183" s="597"/>
      <c r="J183" s="597"/>
      <c r="K183" s="597"/>
      <c r="L183" s="597"/>
      <c r="M183" s="597"/>
      <c r="N183" s="597"/>
      <c r="O183" s="598"/>
      <c r="P183" s="90">
        <v>23</v>
      </c>
      <c r="Q183" s="71">
        <v>0</v>
      </c>
      <c r="R183" s="71">
        <v>405</v>
      </c>
      <c r="S183" s="71">
        <v>651</v>
      </c>
      <c r="T183" s="71">
        <v>953</v>
      </c>
      <c r="U183" s="71">
        <v>1173</v>
      </c>
      <c r="V183" s="71">
        <v>0</v>
      </c>
      <c r="X183" s="90">
        <f t="shared" si="89"/>
        <v>0</v>
      </c>
      <c r="Y183" s="90">
        <f t="shared" si="89"/>
        <v>0</v>
      </c>
      <c r="Z183" s="90">
        <f t="shared" si="89"/>
        <v>0</v>
      </c>
      <c r="AA183" s="90">
        <f t="shared" si="87"/>
        <v>0</v>
      </c>
      <c r="AB183" s="90">
        <f t="shared" si="87"/>
        <v>0</v>
      </c>
      <c r="AC183" s="90">
        <f t="shared" si="87"/>
        <v>0</v>
      </c>
      <c r="AE183" s="71">
        <f t="shared" si="90"/>
        <v>0</v>
      </c>
      <c r="AF183" s="71">
        <f t="shared" si="90"/>
        <v>0</v>
      </c>
      <c r="AG183" s="71">
        <f t="shared" si="90"/>
        <v>0</v>
      </c>
      <c r="AH183" s="71">
        <f t="shared" si="88"/>
        <v>0</v>
      </c>
      <c r="AI183" s="71">
        <f t="shared" si="88"/>
        <v>0</v>
      </c>
      <c r="AJ183" s="71">
        <f t="shared" si="88"/>
        <v>0</v>
      </c>
    </row>
    <row r="184" spans="2:36">
      <c r="B184" s="597"/>
      <c r="C184" s="597"/>
      <c r="D184" s="597"/>
      <c r="E184" s="597"/>
      <c r="F184" s="597"/>
      <c r="G184" s="597"/>
      <c r="I184" s="597"/>
      <c r="J184" s="597"/>
      <c r="K184" s="597"/>
      <c r="L184" s="597"/>
      <c r="M184" s="597"/>
      <c r="N184" s="597"/>
      <c r="O184" s="598"/>
      <c r="P184" s="90">
        <v>23</v>
      </c>
      <c r="Q184" s="71">
        <v>0</v>
      </c>
      <c r="R184" s="71">
        <v>405</v>
      </c>
      <c r="S184" s="71">
        <v>651</v>
      </c>
      <c r="T184" s="71">
        <v>953</v>
      </c>
      <c r="U184" s="71">
        <v>1173</v>
      </c>
      <c r="V184" s="71">
        <v>0</v>
      </c>
      <c r="X184" s="90">
        <f t="shared" si="89"/>
        <v>0</v>
      </c>
      <c r="Y184" s="90">
        <f t="shared" si="89"/>
        <v>0</v>
      </c>
      <c r="Z184" s="90">
        <f t="shared" si="89"/>
        <v>0</v>
      </c>
      <c r="AA184" s="90">
        <f t="shared" si="87"/>
        <v>0</v>
      </c>
      <c r="AB184" s="90">
        <f t="shared" si="87"/>
        <v>0</v>
      </c>
      <c r="AC184" s="90">
        <f t="shared" si="87"/>
        <v>0</v>
      </c>
      <c r="AE184" s="71">
        <f t="shared" si="90"/>
        <v>0</v>
      </c>
      <c r="AF184" s="71">
        <f t="shared" si="90"/>
        <v>0</v>
      </c>
      <c r="AG184" s="71">
        <f t="shared" si="90"/>
        <v>0</v>
      </c>
      <c r="AH184" s="71">
        <f t="shared" si="88"/>
        <v>0</v>
      </c>
      <c r="AI184" s="71">
        <f t="shared" si="88"/>
        <v>0</v>
      </c>
      <c r="AJ184" s="71">
        <f t="shared" si="88"/>
        <v>0</v>
      </c>
    </row>
    <row r="185" spans="2:36">
      <c r="B185" s="597"/>
      <c r="C185" s="597"/>
      <c r="D185" s="597"/>
      <c r="E185" s="597"/>
      <c r="F185" s="597"/>
      <c r="G185" s="597"/>
      <c r="I185" s="597"/>
      <c r="J185" s="597"/>
      <c r="K185" s="597"/>
      <c r="L185" s="597"/>
      <c r="M185" s="597"/>
      <c r="N185" s="597"/>
      <c r="O185" s="598"/>
      <c r="P185" s="90">
        <v>23</v>
      </c>
      <c r="Q185" s="71">
        <v>0</v>
      </c>
      <c r="R185" s="71">
        <v>405</v>
      </c>
      <c r="S185" s="71">
        <v>651</v>
      </c>
      <c r="T185" s="71">
        <v>953</v>
      </c>
      <c r="U185" s="71">
        <v>1173</v>
      </c>
      <c r="V185" s="71">
        <v>0</v>
      </c>
      <c r="X185" s="90">
        <f t="shared" si="89"/>
        <v>0</v>
      </c>
      <c r="Y185" s="90">
        <f t="shared" si="89"/>
        <v>0</v>
      </c>
      <c r="Z185" s="90">
        <f t="shared" si="89"/>
        <v>0</v>
      </c>
      <c r="AA185" s="90">
        <f t="shared" si="87"/>
        <v>0</v>
      </c>
      <c r="AB185" s="90">
        <f t="shared" si="87"/>
        <v>0</v>
      </c>
      <c r="AC185" s="90">
        <f t="shared" si="87"/>
        <v>0</v>
      </c>
      <c r="AE185" s="71">
        <f t="shared" si="90"/>
        <v>0</v>
      </c>
      <c r="AF185" s="71">
        <f t="shared" si="90"/>
        <v>0</v>
      </c>
      <c r="AG185" s="71">
        <f t="shared" si="90"/>
        <v>0</v>
      </c>
      <c r="AH185" s="71">
        <f t="shared" si="88"/>
        <v>0</v>
      </c>
      <c r="AI185" s="71">
        <f t="shared" si="88"/>
        <v>0</v>
      </c>
      <c r="AJ185" s="71">
        <f t="shared" si="88"/>
        <v>0</v>
      </c>
    </row>
    <row r="186" spans="2:36">
      <c r="B186" s="597"/>
      <c r="C186" s="597"/>
      <c r="D186" s="597"/>
      <c r="E186" s="597"/>
      <c r="F186" s="597"/>
      <c r="G186" s="597"/>
      <c r="I186" s="597"/>
      <c r="J186" s="597"/>
      <c r="K186" s="597"/>
      <c r="L186" s="597"/>
      <c r="M186" s="597"/>
      <c r="N186" s="597"/>
      <c r="O186" s="598"/>
      <c r="P186" s="90">
        <v>23</v>
      </c>
      <c r="Q186" s="71">
        <v>0</v>
      </c>
      <c r="R186" s="71">
        <v>405</v>
      </c>
      <c r="S186" s="71">
        <v>651</v>
      </c>
      <c r="T186" s="71">
        <v>953</v>
      </c>
      <c r="U186" s="71">
        <v>1173</v>
      </c>
      <c r="V186" s="71">
        <v>0</v>
      </c>
      <c r="X186" s="90">
        <f t="shared" si="89"/>
        <v>0</v>
      </c>
      <c r="Y186" s="90">
        <f t="shared" si="89"/>
        <v>0</v>
      </c>
      <c r="Z186" s="90">
        <f t="shared" si="89"/>
        <v>0</v>
      </c>
      <c r="AA186" s="90">
        <f t="shared" si="87"/>
        <v>0</v>
      </c>
      <c r="AB186" s="90">
        <f t="shared" si="87"/>
        <v>0</v>
      </c>
      <c r="AC186" s="90">
        <f t="shared" si="87"/>
        <v>0</v>
      </c>
      <c r="AE186" s="71">
        <f t="shared" si="90"/>
        <v>0</v>
      </c>
      <c r="AF186" s="71">
        <f t="shared" si="90"/>
        <v>0</v>
      </c>
      <c r="AG186" s="71">
        <f t="shared" si="90"/>
        <v>0</v>
      </c>
      <c r="AH186" s="71">
        <f t="shared" si="88"/>
        <v>0</v>
      </c>
      <c r="AI186" s="71">
        <f t="shared" si="88"/>
        <v>0</v>
      </c>
      <c r="AJ186" s="71">
        <f t="shared" si="88"/>
        <v>0</v>
      </c>
    </row>
    <row r="187" spans="2:36">
      <c r="B187" s="597"/>
      <c r="C187" s="597"/>
      <c r="D187" s="597"/>
      <c r="E187" s="597"/>
      <c r="F187" s="597"/>
      <c r="G187" s="597"/>
      <c r="I187" s="597"/>
      <c r="J187" s="597"/>
      <c r="K187" s="597"/>
      <c r="L187" s="597"/>
      <c r="M187" s="597"/>
      <c r="N187" s="597"/>
      <c r="O187" s="598"/>
      <c r="P187" s="90">
        <v>23</v>
      </c>
      <c r="Q187" s="71">
        <v>0</v>
      </c>
      <c r="R187" s="71">
        <v>405</v>
      </c>
      <c r="S187" s="71">
        <v>651</v>
      </c>
      <c r="T187" s="71">
        <v>953</v>
      </c>
      <c r="U187" s="71">
        <v>1173</v>
      </c>
      <c r="V187" s="71">
        <v>0</v>
      </c>
      <c r="X187" s="90">
        <f t="shared" si="89"/>
        <v>0</v>
      </c>
      <c r="Y187" s="90">
        <f t="shared" si="89"/>
        <v>0</v>
      </c>
      <c r="Z187" s="90">
        <f t="shared" si="89"/>
        <v>0</v>
      </c>
      <c r="AA187" s="90">
        <f t="shared" si="87"/>
        <v>0</v>
      </c>
      <c r="AB187" s="90">
        <f t="shared" si="87"/>
        <v>0</v>
      </c>
      <c r="AC187" s="90">
        <f t="shared" si="87"/>
        <v>0</v>
      </c>
      <c r="AE187" s="71">
        <f t="shared" si="90"/>
        <v>0</v>
      </c>
      <c r="AF187" s="71">
        <f t="shared" si="90"/>
        <v>0</v>
      </c>
      <c r="AG187" s="71">
        <f t="shared" si="90"/>
        <v>0</v>
      </c>
      <c r="AH187" s="71">
        <f t="shared" si="88"/>
        <v>0</v>
      </c>
      <c r="AI187" s="71">
        <f t="shared" si="88"/>
        <v>0</v>
      </c>
      <c r="AJ187" s="71">
        <f t="shared" si="88"/>
        <v>0</v>
      </c>
    </row>
    <row r="188" spans="2:36">
      <c r="B188" s="597"/>
      <c r="C188" s="597"/>
      <c r="D188" s="597"/>
      <c r="E188" s="597"/>
      <c r="F188" s="597"/>
      <c r="G188" s="597"/>
      <c r="I188" s="597"/>
      <c r="J188" s="597"/>
      <c r="K188" s="597"/>
      <c r="L188" s="597"/>
      <c r="M188" s="597"/>
      <c r="N188" s="597"/>
      <c r="O188" s="598"/>
      <c r="P188" s="90">
        <v>23</v>
      </c>
      <c r="Q188" s="71">
        <v>0</v>
      </c>
      <c r="R188" s="71">
        <v>405</v>
      </c>
      <c r="S188" s="71">
        <v>651</v>
      </c>
      <c r="T188" s="71">
        <v>953</v>
      </c>
      <c r="U188" s="71">
        <v>1173</v>
      </c>
      <c r="V188" s="71">
        <v>0</v>
      </c>
      <c r="X188" s="90">
        <f t="shared" si="89"/>
        <v>0</v>
      </c>
      <c r="Y188" s="90">
        <f t="shared" si="89"/>
        <v>0</v>
      </c>
      <c r="Z188" s="90">
        <f t="shared" si="89"/>
        <v>0</v>
      </c>
      <c r="AA188" s="90">
        <f t="shared" si="87"/>
        <v>0</v>
      </c>
      <c r="AB188" s="90">
        <f t="shared" si="87"/>
        <v>0</v>
      </c>
      <c r="AC188" s="90">
        <f t="shared" si="87"/>
        <v>0</v>
      </c>
      <c r="AE188" s="71">
        <f t="shared" si="90"/>
        <v>0</v>
      </c>
      <c r="AF188" s="71">
        <f t="shared" si="90"/>
        <v>0</v>
      </c>
      <c r="AG188" s="71">
        <f t="shared" si="90"/>
        <v>0</v>
      </c>
      <c r="AH188" s="71">
        <f t="shared" si="88"/>
        <v>0</v>
      </c>
      <c r="AI188" s="71">
        <f t="shared" si="88"/>
        <v>0</v>
      </c>
      <c r="AJ188" s="71">
        <f t="shared" si="88"/>
        <v>0</v>
      </c>
    </row>
    <row r="189" spans="2:36" s="599" customFormat="1">
      <c r="B189" s="600"/>
      <c r="C189" s="600"/>
      <c r="D189" s="600"/>
      <c r="E189" s="600"/>
      <c r="F189" s="600"/>
      <c r="G189" s="600"/>
      <c r="I189" s="600"/>
      <c r="J189" s="600"/>
      <c r="K189" s="600"/>
      <c r="L189" s="600"/>
      <c r="M189" s="600"/>
      <c r="N189" s="600"/>
      <c r="O189" s="601"/>
      <c r="P189" s="599">
        <v>23</v>
      </c>
      <c r="Q189" s="602">
        <v>0</v>
      </c>
      <c r="R189" s="602">
        <v>405</v>
      </c>
      <c r="S189" s="602">
        <v>651</v>
      </c>
      <c r="T189" s="602">
        <v>953</v>
      </c>
      <c r="U189" s="602">
        <v>1173</v>
      </c>
      <c r="V189" s="602">
        <v>0</v>
      </c>
      <c r="X189" s="599">
        <f t="shared" si="89"/>
        <v>0</v>
      </c>
      <c r="Y189" s="599">
        <f t="shared" si="89"/>
        <v>0</v>
      </c>
      <c r="Z189" s="599">
        <f t="shared" si="89"/>
        <v>0</v>
      </c>
      <c r="AA189" s="599">
        <f t="shared" si="87"/>
        <v>0</v>
      </c>
      <c r="AB189" s="599">
        <f t="shared" si="87"/>
        <v>0</v>
      </c>
      <c r="AC189" s="599">
        <f t="shared" si="87"/>
        <v>0</v>
      </c>
      <c r="AE189" s="602">
        <f t="shared" si="90"/>
        <v>0</v>
      </c>
      <c r="AF189" s="602">
        <f t="shared" si="90"/>
        <v>0</v>
      </c>
      <c r="AG189" s="602">
        <f t="shared" si="90"/>
        <v>0</v>
      </c>
      <c r="AH189" s="602">
        <f t="shared" si="88"/>
        <v>0</v>
      </c>
      <c r="AI189" s="602">
        <f t="shared" si="88"/>
        <v>0</v>
      </c>
      <c r="AJ189" s="602">
        <f t="shared" si="88"/>
        <v>0</v>
      </c>
    </row>
    <row r="190" spans="2:36" s="605" customFormat="1">
      <c r="B190" s="604"/>
      <c r="C190" s="604"/>
      <c r="D190" s="604"/>
      <c r="E190" s="604"/>
      <c r="F190" s="604"/>
      <c r="G190" s="604"/>
      <c r="I190" s="604"/>
      <c r="J190" s="604"/>
      <c r="K190" s="604"/>
      <c r="L190" s="604"/>
      <c r="M190" s="604"/>
      <c r="N190" s="604"/>
      <c r="O190" s="606"/>
      <c r="P190" s="605">
        <v>24</v>
      </c>
      <c r="Q190" s="607">
        <v>0</v>
      </c>
      <c r="R190" s="607">
        <v>524</v>
      </c>
      <c r="S190" s="607">
        <v>819</v>
      </c>
      <c r="T190" s="607">
        <v>1149</v>
      </c>
      <c r="U190" s="607">
        <v>1375</v>
      </c>
      <c r="V190" s="607">
        <v>0</v>
      </c>
      <c r="X190" s="605">
        <f t="shared" si="89"/>
        <v>0</v>
      </c>
      <c r="Y190" s="605">
        <f t="shared" si="89"/>
        <v>0</v>
      </c>
      <c r="Z190" s="605">
        <f t="shared" si="89"/>
        <v>0</v>
      </c>
      <c r="AA190" s="605">
        <f t="shared" si="87"/>
        <v>0</v>
      </c>
      <c r="AB190" s="605">
        <f t="shared" si="87"/>
        <v>0</v>
      </c>
      <c r="AC190" s="605">
        <f t="shared" si="87"/>
        <v>0</v>
      </c>
      <c r="AE190" s="607">
        <f t="shared" si="90"/>
        <v>0</v>
      </c>
      <c r="AF190" s="607">
        <f t="shared" si="90"/>
        <v>0</v>
      </c>
      <c r="AG190" s="607">
        <f t="shared" si="90"/>
        <v>0</v>
      </c>
      <c r="AH190" s="607">
        <f t="shared" si="88"/>
        <v>0</v>
      </c>
      <c r="AI190" s="607">
        <f t="shared" si="88"/>
        <v>0</v>
      </c>
      <c r="AJ190" s="607">
        <f t="shared" si="88"/>
        <v>0</v>
      </c>
    </row>
    <row r="191" spans="2:36">
      <c r="B191" s="597"/>
      <c r="C191" s="597"/>
      <c r="D191" s="597"/>
      <c r="E191" s="597"/>
      <c r="F191" s="597"/>
      <c r="G191" s="597"/>
      <c r="I191" s="597"/>
      <c r="J191" s="597"/>
      <c r="K191" s="597"/>
      <c r="L191" s="597"/>
      <c r="M191" s="597"/>
      <c r="N191" s="597"/>
      <c r="O191" s="598"/>
      <c r="P191" s="90">
        <v>24</v>
      </c>
      <c r="Q191" s="71">
        <v>0</v>
      </c>
      <c r="R191" s="71">
        <v>524</v>
      </c>
      <c r="S191" s="71">
        <v>819</v>
      </c>
      <c r="T191" s="71">
        <v>1149</v>
      </c>
      <c r="U191" s="71">
        <v>1375</v>
      </c>
      <c r="V191" s="71">
        <v>0</v>
      </c>
      <c r="X191" s="90">
        <f t="shared" si="89"/>
        <v>0</v>
      </c>
      <c r="Y191" s="90">
        <f t="shared" si="89"/>
        <v>0</v>
      </c>
      <c r="Z191" s="90">
        <f t="shared" si="89"/>
        <v>0</v>
      </c>
      <c r="AA191" s="90">
        <f t="shared" si="87"/>
        <v>0</v>
      </c>
      <c r="AB191" s="90">
        <f t="shared" si="87"/>
        <v>0</v>
      </c>
      <c r="AC191" s="90">
        <f t="shared" si="87"/>
        <v>0</v>
      </c>
      <c r="AE191" s="71">
        <f t="shared" si="90"/>
        <v>0</v>
      </c>
      <c r="AF191" s="71">
        <f t="shared" si="90"/>
        <v>0</v>
      </c>
      <c r="AG191" s="71">
        <f t="shared" si="90"/>
        <v>0</v>
      </c>
      <c r="AH191" s="71">
        <f t="shared" si="88"/>
        <v>0</v>
      </c>
      <c r="AI191" s="71">
        <f t="shared" si="88"/>
        <v>0</v>
      </c>
      <c r="AJ191" s="71">
        <f t="shared" si="88"/>
        <v>0</v>
      </c>
    </row>
    <row r="192" spans="2:36">
      <c r="B192" s="597"/>
      <c r="C192" s="597"/>
      <c r="D192" s="597"/>
      <c r="E192" s="597"/>
      <c r="F192" s="597"/>
      <c r="G192" s="597"/>
      <c r="I192" s="597"/>
      <c r="J192" s="597"/>
      <c r="K192" s="597"/>
      <c r="L192" s="597"/>
      <c r="M192" s="597"/>
      <c r="N192" s="597"/>
      <c r="O192" s="598"/>
      <c r="P192" s="90">
        <v>24</v>
      </c>
      <c r="Q192" s="71">
        <v>0</v>
      </c>
      <c r="R192" s="71">
        <v>524</v>
      </c>
      <c r="S192" s="71">
        <v>819</v>
      </c>
      <c r="T192" s="71">
        <v>1149</v>
      </c>
      <c r="U192" s="71">
        <v>1375</v>
      </c>
      <c r="V192" s="71">
        <v>0</v>
      </c>
      <c r="X192" s="90">
        <f t="shared" si="89"/>
        <v>0</v>
      </c>
      <c r="Y192" s="90">
        <f t="shared" si="89"/>
        <v>0</v>
      </c>
      <c r="Z192" s="90">
        <f t="shared" si="89"/>
        <v>0</v>
      </c>
      <c r="AA192" s="90">
        <f t="shared" si="87"/>
        <v>0</v>
      </c>
      <c r="AB192" s="90">
        <f t="shared" si="87"/>
        <v>0</v>
      </c>
      <c r="AC192" s="90">
        <f t="shared" si="87"/>
        <v>0</v>
      </c>
      <c r="AE192" s="71">
        <f t="shared" si="90"/>
        <v>0</v>
      </c>
      <c r="AF192" s="71">
        <f t="shared" si="90"/>
        <v>0</v>
      </c>
      <c r="AG192" s="71">
        <f t="shared" si="90"/>
        <v>0</v>
      </c>
      <c r="AH192" s="71">
        <f t="shared" si="88"/>
        <v>0</v>
      </c>
      <c r="AI192" s="71">
        <f t="shared" si="88"/>
        <v>0</v>
      </c>
      <c r="AJ192" s="71">
        <f t="shared" si="88"/>
        <v>0</v>
      </c>
    </row>
    <row r="193" spans="2:36">
      <c r="B193" s="597"/>
      <c r="C193" s="597"/>
      <c r="D193" s="597"/>
      <c r="E193" s="597"/>
      <c r="F193" s="597"/>
      <c r="G193" s="597"/>
      <c r="I193" s="597"/>
      <c r="J193" s="597"/>
      <c r="K193" s="597"/>
      <c r="L193" s="597"/>
      <c r="M193" s="597"/>
      <c r="N193" s="597"/>
      <c r="O193" s="598"/>
      <c r="P193" s="90">
        <v>24</v>
      </c>
      <c r="Q193" s="71">
        <v>0</v>
      </c>
      <c r="R193" s="71">
        <v>524</v>
      </c>
      <c r="S193" s="71">
        <v>819</v>
      </c>
      <c r="T193" s="71">
        <v>1149</v>
      </c>
      <c r="U193" s="71">
        <v>1375</v>
      </c>
      <c r="V193" s="71">
        <v>0</v>
      </c>
      <c r="X193" s="90">
        <f t="shared" si="89"/>
        <v>0</v>
      </c>
      <c r="Y193" s="90">
        <f t="shared" si="89"/>
        <v>0</v>
      </c>
      <c r="Z193" s="90">
        <f t="shared" si="89"/>
        <v>0</v>
      </c>
      <c r="AA193" s="90">
        <f t="shared" si="87"/>
        <v>0</v>
      </c>
      <c r="AB193" s="90">
        <f t="shared" si="87"/>
        <v>0</v>
      </c>
      <c r="AC193" s="90">
        <f t="shared" si="87"/>
        <v>0</v>
      </c>
      <c r="AE193" s="71">
        <f t="shared" si="90"/>
        <v>0</v>
      </c>
      <c r="AF193" s="71">
        <f t="shared" si="90"/>
        <v>0</v>
      </c>
      <c r="AG193" s="71">
        <f t="shared" si="90"/>
        <v>0</v>
      </c>
      <c r="AH193" s="71">
        <f t="shared" si="88"/>
        <v>0</v>
      </c>
      <c r="AI193" s="71">
        <f t="shared" si="88"/>
        <v>0</v>
      </c>
      <c r="AJ193" s="71">
        <f t="shared" si="88"/>
        <v>0</v>
      </c>
    </row>
    <row r="194" spans="2:36">
      <c r="B194" s="597"/>
      <c r="C194" s="597"/>
      <c r="D194" s="597"/>
      <c r="E194" s="597"/>
      <c r="F194" s="597"/>
      <c r="G194" s="597"/>
      <c r="I194" s="597"/>
      <c r="J194" s="597"/>
      <c r="K194" s="597"/>
      <c r="L194" s="597"/>
      <c r="M194" s="597"/>
      <c r="N194" s="597"/>
      <c r="O194" s="598"/>
      <c r="P194" s="90">
        <v>24</v>
      </c>
      <c r="Q194" s="71">
        <v>0</v>
      </c>
      <c r="R194" s="71">
        <v>524</v>
      </c>
      <c r="S194" s="71">
        <v>819</v>
      </c>
      <c r="T194" s="71">
        <v>1149</v>
      </c>
      <c r="U194" s="71">
        <v>1375</v>
      </c>
      <c r="V194" s="71">
        <v>0</v>
      </c>
      <c r="X194" s="90">
        <f t="shared" si="89"/>
        <v>0</v>
      </c>
      <c r="Y194" s="90">
        <f t="shared" si="89"/>
        <v>0</v>
      </c>
      <c r="Z194" s="90">
        <f t="shared" si="89"/>
        <v>0</v>
      </c>
      <c r="AA194" s="90">
        <f t="shared" si="87"/>
        <v>0</v>
      </c>
      <c r="AB194" s="90">
        <f t="shared" si="87"/>
        <v>0</v>
      </c>
      <c r="AC194" s="90">
        <f t="shared" si="87"/>
        <v>0</v>
      </c>
      <c r="AE194" s="71">
        <f t="shared" si="90"/>
        <v>0</v>
      </c>
      <c r="AF194" s="71">
        <f t="shared" si="90"/>
        <v>0</v>
      </c>
      <c r="AG194" s="71">
        <f t="shared" si="90"/>
        <v>0</v>
      </c>
      <c r="AH194" s="71">
        <f t="shared" si="88"/>
        <v>0</v>
      </c>
      <c r="AI194" s="71">
        <f t="shared" si="88"/>
        <v>0</v>
      </c>
      <c r="AJ194" s="71">
        <f t="shared" si="88"/>
        <v>0</v>
      </c>
    </row>
    <row r="195" spans="2:36">
      <c r="B195" s="597"/>
      <c r="C195" s="597"/>
      <c r="D195" s="597"/>
      <c r="E195" s="597"/>
      <c r="F195" s="597"/>
      <c r="G195" s="597"/>
      <c r="I195" s="597"/>
      <c r="J195" s="597"/>
      <c r="K195" s="597"/>
      <c r="L195" s="597"/>
      <c r="M195" s="597"/>
      <c r="N195" s="597"/>
      <c r="O195" s="598"/>
      <c r="P195" s="90">
        <v>24</v>
      </c>
      <c r="Q195" s="71">
        <v>0</v>
      </c>
      <c r="R195" s="71">
        <v>524</v>
      </c>
      <c r="S195" s="71">
        <v>819</v>
      </c>
      <c r="T195" s="71">
        <v>1149</v>
      </c>
      <c r="U195" s="71">
        <v>1375</v>
      </c>
      <c r="V195" s="71">
        <v>0</v>
      </c>
      <c r="X195" s="90">
        <f t="shared" si="89"/>
        <v>0</v>
      </c>
      <c r="Y195" s="90">
        <f t="shared" si="89"/>
        <v>0</v>
      </c>
      <c r="Z195" s="90">
        <f t="shared" si="89"/>
        <v>0</v>
      </c>
      <c r="AA195" s="90">
        <f t="shared" si="87"/>
        <v>0</v>
      </c>
      <c r="AB195" s="90">
        <f t="shared" si="87"/>
        <v>0</v>
      </c>
      <c r="AC195" s="90">
        <f t="shared" si="87"/>
        <v>0</v>
      </c>
      <c r="AE195" s="71">
        <f t="shared" si="90"/>
        <v>0</v>
      </c>
      <c r="AF195" s="71">
        <f t="shared" si="90"/>
        <v>0</v>
      </c>
      <c r="AG195" s="71">
        <f t="shared" si="90"/>
        <v>0</v>
      </c>
      <c r="AH195" s="71">
        <f t="shared" si="88"/>
        <v>0</v>
      </c>
      <c r="AI195" s="71">
        <f t="shared" si="88"/>
        <v>0</v>
      </c>
      <c r="AJ195" s="71">
        <f t="shared" si="88"/>
        <v>0</v>
      </c>
    </row>
    <row r="196" spans="2:36">
      <c r="B196" s="597"/>
      <c r="C196" s="597"/>
      <c r="D196" s="597"/>
      <c r="E196" s="597"/>
      <c r="F196" s="597"/>
      <c r="G196" s="597"/>
      <c r="I196" s="597"/>
      <c r="J196" s="597"/>
      <c r="K196" s="597"/>
      <c r="L196" s="597"/>
      <c r="M196" s="597"/>
      <c r="N196" s="597"/>
      <c r="O196" s="598"/>
      <c r="P196" s="90">
        <v>24</v>
      </c>
      <c r="Q196" s="71">
        <v>0</v>
      </c>
      <c r="R196" s="71">
        <v>524</v>
      </c>
      <c r="S196" s="71">
        <v>819</v>
      </c>
      <c r="T196" s="71">
        <v>1149</v>
      </c>
      <c r="U196" s="71">
        <v>1375</v>
      </c>
      <c r="V196" s="71">
        <v>0</v>
      </c>
      <c r="X196" s="90">
        <f t="shared" si="89"/>
        <v>0</v>
      </c>
      <c r="Y196" s="90">
        <f t="shared" si="89"/>
        <v>0</v>
      </c>
      <c r="Z196" s="90">
        <f t="shared" si="89"/>
        <v>0</v>
      </c>
      <c r="AA196" s="90">
        <f t="shared" si="87"/>
        <v>0</v>
      </c>
      <c r="AB196" s="90">
        <f t="shared" si="87"/>
        <v>0</v>
      </c>
      <c r="AC196" s="90">
        <f t="shared" si="87"/>
        <v>0</v>
      </c>
      <c r="AE196" s="71">
        <f t="shared" si="90"/>
        <v>0</v>
      </c>
      <c r="AF196" s="71">
        <f t="shared" si="90"/>
        <v>0</v>
      </c>
      <c r="AG196" s="71">
        <f t="shared" si="90"/>
        <v>0</v>
      </c>
      <c r="AH196" s="71">
        <f t="shared" si="88"/>
        <v>0</v>
      </c>
      <c r="AI196" s="71">
        <f t="shared" si="88"/>
        <v>0</v>
      </c>
      <c r="AJ196" s="71">
        <f t="shared" si="88"/>
        <v>0</v>
      </c>
    </row>
    <row r="197" spans="2:36" s="599" customFormat="1">
      <c r="B197" s="600"/>
      <c r="C197" s="600"/>
      <c r="D197" s="600"/>
      <c r="E197" s="600"/>
      <c r="F197" s="600"/>
      <c r="G197" s="600"/>
      <c r="I197" s="600"/>
      <c r="J197" s="600"/>
      <c r="K197" s="600"/>
      <c r="L197" s="600"/>
      <c r="M197" s="600"/>
      <c r="N197" s="600"/>
      <c r="O197" s="601"/>
      <c r="P197" s="599">
        <v>24</v>
      </c>
      <c r="Q197" s="602">
        <v>0</v>
      </c>
      <c r="R197" s="602">
        <v>524</v>
      </c>
      <c r="S197" s="602">
        <v>819</v>
      </c>
      <c r="T197" s="602">
        <v>1149</v>
      </c>
      <c r="U197" s="602">
        <v>1375</v>
      </c>
      <c r="V197" s="602">
        <v>0</v>
      </c>
      <c r="X197" s="599">
        <f t="shared" si="89"/>
        <v>0</v>
      </c>
      <c r="Y197" s="599">
        <f t="shared" si="89"/>
        <v>0</v>
      </c>
      <c r="Z197" s="599">
        <f t="shared" si="89"/>
        <v>0</v>
      </c>
      <c r="AA197" s="599">
        <f t="shared" si="87"/>
        <v>0</v>
      </c>
      <c r="AB197" s="599">
        <f t="shared" si="87"/>
        <v>0</v>
      </c>
      <c r="AC197" s="599">
        <f t="shared" si="87"/>
        <v>0</v>
      </c>
      <c r="AE197" s="602">
        <f t="shared" si="90"/>
        <v>0</v>
      </c>
      <c r="AF197" s="602">
        <f t="shared" si="90"/>
        <v>0</v>
      </c>
      <c r="AG197" s="602">
        <f t="shared" si="90"/>
        <v>0</v>
      </c>
      <c r="AH197" s="602">
        <f t="shared" si="88"/>
        <v>0</v>
      </c>
      <c r="AI197" s="602">
        <f t="shared" si="88"/>
        <v>0</v>
      </c>
      <c r="AJ197" s="602">
        <f t="shared" si="88"/>
        <v>0</v>
      </c>
    </row>
    <row r="198" spans="2:36" s="605" customFormat="1">
      <c r="B198" s="604"/>
      <c r="C198" s="604"/>
      <c r="D198" s="604"/>
      <c r="E198" s="604"/>
      <c r="F198" s="604"/>
      <c r="G198" s="604"/>
      <c r="I198" s="604"/>
      <c r="J198" s="604"/>
      <c r="K198" s="604"/>
      <c r="L198" s="604"/>
      <c r="M198" s="604"/>
      <c r="N198" s="604"/>
      <c r="O198" s="606"/>
      <c r="P198" s="605">
        <v>25</v>
      </c>
      <c r="Q198" s="607">
        <v>0</v>
      </c>
      <c r="R198" s="607">
        <v>3813424</v>
      </c>
      <c r="S198" s="607">
        <v>7854127</v>
      </c>
      <c r="T198" s="607">
        <v>16176360</v>
      </c>
      <c r="U198" s="607">
        <v>24987623</v>
      </c>
      <c r="V198" s="607">
        <v>0</v>
      </c>
      <c r="X198" s="605">
        <f t="shared" si="89"/>
        <v>0</v>
      </c>
      <c r="Y198" s="605">
        <f t="shared" si="89"/>
        <v>0</v>
      </c>
      <c r="Z198" s="605">
        <f t="shared" si="89"/>
        <v>0</v>
      </c>
      <c r="AA198" s="605">
        <f t="shared" si="87"/>
        <v>0</v>
      </c>
      <c r="AB198" s="605">
        <f t="shared" si="87"/>
        <v>0</v>
      </c>
      <c r="AC198" s="605">
        <f t="shared" si="87"/>
        <v>0</v>
      </c>
      <c r="AE198" s="607">
        <f t="shared" si="90"/>
        <v>0</v>
      </c>
      <c r="AF198" s="607">
        <f t="shared" si="90"/>
        <v>0</v>
      </c>
      <c r="AG198" s="607">
        <f t="shared" si="90"/>
        <v>0</v>
      </c>
      <c r="AH198" s="607">
        <f t="shared" si="88"/>
        <v>0</v>
      </c>
      <c r="AI198" s="607">
        <f t="shared" si="88"/>
        <v>0</v>
      </c>
      <c r="AJ198" s="607">
        <f t="shared" si="88"/>
        <v>0</v>
      </c>
    </row>
    <row r="199" spans="2:36">
      <c r="B199" s="597"/>
      <c r="C199" s="597"/>
      <c r="D199" s="597"/>
      <c r="E199" s="597"/>
      <c r="F199" s="597"/>
      <c r="G199" s="597"/>
      <c r="I199" s="597"/>
      <c r="J199" s="597"/>
      <c r="K199" s="597"/>
      <c r="L199" s="597"/>
      <c r="M199" s="597"/>
      <c r="N199" s="597"/>
      <c r="O199" s="598"/>
      <c r="P199" s="90">
        <v>25</v>
      </c>
      <c r="Q199" s="71">
        <v>0</v>
      </c>
      <c r="R199" s="71">
        <v>3813424</v>
      </c>
      <c r="S199" s="71">
        <v>7854127</v>
      </c>
      <c r="T199" s="71">
        <v>16176360</v>
      </c>
      <c r="U199" s="71">
        <v>24987623</v>
      </c>
      <c r="V199" s="71">
        <v>0</v>
      </c>
      <c r="X199" s="90">
        <f t="shared" si="89"/>
        <v>0</v>
      </c>
      <c r="Y199" s="90">
        <f t="shared" si="89"/>
        <v>0</v>
      </c>
      <c r="Z199" s="90">
        <f t="shared" si="89"/>
        <v>0</v>
      </c>
      <c r="AA199" s="90">
        <f t="shared" si="87"/>
        <v>0</v>
      </c>
      <c r="AB199" s="90">
        <f t="shared" si="87"/>
        <v>0</v>
      </c>
      <c r="AC199" s="90">
        <f t="shared" si="87"/>
        <v>0</v>
      </c>
      <c r="AE199" s="71">
        <f t="shared" si="90"/>
        <v>0</v>
      </c>
      <c r="AF199" s="71">
        <f t="shared" si="90"/>
        <v>0</v>
      </c>
      <c r="AG199" s="71">
        <f t="shared" si="90"/>
        <v>0</v>
      </c>
      <c r="AH199" s="71">
        <f t="shared" si="88"/>
        <v>0</v>
      </c>
      <c r="AI199" s="71">
        <f t="shared" si="88"/>
        <v>0</v>
      </c>
      <c r="AJ199" s="71">
        <f t="shared" si="88"/>
        <v>0</v>
      </c>
    </row>
    <row r="200" spans="2:36">
      <c r="B200" s="597"/>
      <c r="C200" s="597"/>
      <c r="D200" s="597"/>
      <c r="E200" s="597"/>
      <c r="F200" s="597"/>
      <c r="G200" s="597"/>
      <c r="I200" s="597"/>
      <c r="J200" s="597"/>
      <c r="K200" s="597"/>
      <c r="L200" s="597"/>
      <c r="M200" s="597"/>
      <c r="N200" s="597"/>
      <c r="O200" s="598"/>
      <c r="P200" s="90">
        <v>25</v>
      </c>
      <c r="Q200" s="71">
        <v>0</v>
      </c>
      <c r="R200" s="71">
        <v>3813424</v>
      </c>
      <c r="S200" s="71">
        <v>7854127</v>
      </c>
      <c r="T200" s="71">
        <v>16176360</v>
      </c>
      <c r="U200" s="71">
        <v>24987623</v>
      </c>
      <c r="V200" s="71">
        <v>0</v>
      </c>
      <c r="X200" s="90">
        <f t="shared" si="89"/>
        <v>0</v>
      </c>
      <c r="Y200" s="90">
        <f t="shared" si="89"/>
        <v>0</v>
      </c>
      <c r="Z200" s="90">
        <f t="shared" si="89"/>
        <v>0</v>
      </c>
      <c r="AA200" s="90">
        <f t="shared" si="87"/>
        <v>0</v>
      </c>
      <c r="AB200" s="90">
        <f t="shared" si="87"/>
        <v>0</v>
      </c>
      <c r="AC200" s="90">
        <f t="shared" si="87"/>
        <v>0</v>
      </c>
      <c r="AE200" s="71">
        <f t="shared" si="90"/>
        <v>0</v>
      </c>
      <c r="AF200" s="71">
        <f t="shared" si="90"/>
        <v>0</v>
      </c>
      <c r="AG200" s="71">
        <f t="shared" si="90"/>
        <v>0</v>
      </c>
      <c r="AH200" s="71">
        <f t="shared" si="88"/>
        <v>0</v>
      </c>
      <c r="AI200" s="71">
        <f t="shared" si="88"/>
        <v>0</v>
      </c>
      <c r="AJ200" s="71">
        <f t="shared" si="88"/>
        <v>0</v>
      </c>
    </row>
    <row r="201" spans="2:36">
      <c r="B201" s="597"/>
      <c r="C201" s="597"/>
      <c r="D201" s="597"/>
      <c r="E201" s="597"/>
      <c r="F201" s="597"/>
      <c r="G201" s="597"/>
      <c r="I201" s="597"/>
      <c r="J201" s="597"/>
      <c r="K201" s="597"/>
      <c r="L201" s="597"/>
      <c r="M201" s="597"/>
      <c r="N201" s="597"/>
      <c r="O201" s="598"/>
      <c r="P201" s="90">
        <v>25</v>
      </c>
      <c r="Q201" s="71">
        <v>0</v>
      </c>
      <c r="R201" s="71">
        <v>3813424</v>
      </c>
      <c r="S201" s="71">
        <v>7854127</v>
      </c>
      <c r="T201" s="71">
        <v>16176360</v>
      </c>
      <c r="U201" s="71">
        <v>24987623</v>
      </c>
      <c r="V201" s="71">
        <v>0</v>
      </c>
      <c r="X201" s="90">
        <f t="shared" si="89"/>
        <v>0</v>
      </c>
      <c r="Y201" s="90">
        <f t="shared" si="89"/>
        <v>0</v>
      </c>
      <c r="Z201" s="90">
        <f t="shared" si="89"/>
        <v>0</v>
      </c>
      <c r="AA201" s="90">
        <f t="shared" si="87"/>
        <v>0</v>
      </c>
      <c r="AB201" s="90">
        <f t="shared" si="87"/>
        <v>0</v>
      </c>
      <c r="AC201" s="90">
        <f t="shared" si="87"/>
        <v>0</v>
      </c>
      <c r="AE201" s="71">
        <f t="shared" si="90"/>
        <v>0</v>
      </c>
      <c r="AF201" s="71">
        <f t="shared" si="90"/>
        <v>0</v>
      </c>
      <c r="AG201" s="71">
        <f t="shared" si="90"/>
        <v>0</v>
      </c>
      <c r="AH201" s="71">
        <f t="shared" si="88"/>
        <v>0</v>
      </c>
      <c r="AI201" s="71">
        <f t="shared" si="88"/>
        <v>0</v>
      </c>
      <c r="AJ201" s="71">
        <f t="shared" si="88"/>
        <v>0</v>
      </c>
    </row>
    <row r="202" spans="2:36">
      <c r="B202" s="597"/>
      <c r="C202" s="597"/>
      <c r="D202" s="597"/>
      <c r="E202" s="597"/>
      <c r="F202" s="597"/>
      <c r="G202" s="597"/>
      <c r="I202" s="597"/>
      <c r="J202" s="597"/>
      <c r="K202" s="597"/>
      <c r="L202" s="597"/>
      <c r="M202" s="597"/>
      <c r="N202" s="597"/>
      <c r="O202" s="598"/>
      <c r="P202" s="90">
        <v>25</v>
      </c>
      <c r="Q202" s="71">
        <v>0</v>
      </c>
      <c r="R202" s="71">
        <v>3813424</v>
      </c>
      <c r="S202" s="71">
        <v>7854127</v>
      </c>
      <c r="T202" s="71">
        <v>16176360</v>
      </c>
      <c r="U202" s="71">
        <v>24987623</v>
      </c>
      <c r="V202" s="71">
        <v>0</v>
      </c>
      <c r="X202" s="90">
        <f t="shared" si="89"/>
        <v>0</v>
      </c>
      <c r="Y202" s="90">
        <f t="shared" si="89"/>
        <v>0</v>
      </c>
      <c r="Z202" s="90">
        <f t="shared" si="89"/>
        <v>0</v>
      </c>
      <c r="AA202" s="90">
        <f t="shared" si="87"/>
        <v>0</v>
      </c>
      <c r="AB202" s="90">
        <f t="shared" si="87"/>
        <v>0</v>
      </c>
      <c r="AC202" s="90">
        <f t="shared" si="87"/>
        <v>0</v>
      </c>
      <c r="AE202" s="71">
        <f t="shared" si="90"/>
        <v>0</v>
      </c>
      <c r="AF202" s="71">
        <f t="shared" si="90"/>
        <v>0</v>
      </c>
      <c r="AG202" s="71">
        <f t="shared" si="90"/>
        <v>0</v>
      </c>
      <c r="AH202" s="71">
        <f t="shared" si="88"/>
        <v>0</v>
      </c>
      <c r="AI202" s="71">
        <f t="shared" si="88"/>
        <v>0</v>
      </c>
      <c r="AJ202" s="71">
        <f t="shared" si="88"/>
        <v>0</v>
      </c>
    </row>
    <row r="203" spans="2:36">
      <c r="B203" s="597"/>
      <c r="C203" s="597"/>
      <c r="D203" s="597"/>
      <c r="E203" s="597"/>
      <c r="F203" s="597"/>
      <c r="G203" s="597"/>
      <c r="I203" s="597"/>
      <c r="J203" s="597"/>
      <c r="K203" s="597"/>
      <c r="L203" s="597"/>
      <c r="M203" s="597"/>
      <c r="N203" s="597"/>
      <c r="O203" s="598"/>
      <c r="P203" s="90">
        <v>25</v>
      </c>
      <c r="Q203" s="71">
        <v>0</v>
      </c>
      <c r="R203" s="71">
        <v>3813424</v>
      </c>
      <c r="S203" s="71">
        <v>7854127</v>
      </c>
      <c r="T203" s="71">
        <v>16176360</v>
      </c>
      <c r="U203" s="71">
        <v>24987623</v>
      </c>
      <c r="V203" s="71">
        <v>0</v>
      </c>
      <c r="X203" s="90">
        <f t="shared" si="89"/>
        <v>0</v>
      </c>
      <c r="Y203" s="90">
        <f t="shared" si="89"/>
        <v>0</v>
      </c>
      <c r="Z203" s="90">
        <f t="shared" si="89"/>
        <v>0</v>
      </c>
      <c r="AA203" s="90">
        <f t="shared" si="87"/>
        <v>0</v>
      </c>
      <c r="AB203" s="90">
        <f t="shared" si="87"/>
        <v>0</v>
      </c>
      <c r="AC203" s="90">
        <f t="shared" si="87"/>
        <v>0</v>
      </c>
      <c r="AE203" s="71">
        <f t="shared" si="90"/>
        <v>0</v>
      </c>
      <c r="AF203" s="71">
        <f t="shared" si="90"/>
        <v>0</v>
      </c>
      <c r="AG203" s="71">
        <f t="shared" si="90"/>
        <v>0</v>
      </c>
      <c r="AH203" s="71">
        <f t="shared" si="88"/>
        <v>0</v>
      </c>
      <c r="AI203" s="71">
        <f t="shared" si="88"/>
        <v>0</v>
      </c>
      <c r="AJ203" s="71">
        <f t="shared" si="88"/>
        <v>0</v>
      </c>
    </row>
    <row r="204" spans="2:36">
      <c r="B204" s="597"/>
      <c r="C204" s="597"/>
      <c r="D204" s="597"/>
      <c r="E204" s="597"/>
      <c r="F204" s="597"/>
      <c r="G204" s="597"/>
      <c r="I204" s="597"/>
      <c r="J204" s="597"/>
      <c r="K204" s="597"/>
      <c r="L204" s="597"/>
      <c r="M204" s="597"/>
      <c r="N204" s="597"/>
      <c r="O204" s="598"/>
      <c r="P204" s="90">
        <v>25</v>
      </c>
      <c r="Q204" s="71">
        <v>0</v>
      </c>
      <c r="R204" s="71">
        <v>3813424</v>
      </c>
      <c r="S204" s="71">
        <v>7854127</v>
      </c>
      <c r="T204" s="71">
        <v>16176360</v>
      </c>
      <c r="U204" s="71">
        <v>24987623</v>
      </c>
      <c r="V204" s="71">
        <v>0</v>
      </c>
      <c r="X204" s="90">
        <f t="shared" si="89"/>
        <v>0</v>
      </c>
      <c r="Y204" s="90">
        <f t="shared" si="89"/>
        <v>0</v>
      </c>
      <c r="Z204" s="90">
        <f t="shared" si="89"/>
        <v>0</v>
      </c>
      <c r="AA204" s="90">
        <f t="shared" si="87"/>
        <v>0</v>
      </c>
      <c r="AB204" s="90">
        <f t="shared" si="87"/>
        <v>0</v>
      </c>
      <c r="AC204" s="90">
        <f t="shared" si="87"/>
        <v>0</v>
      </c>
      <c r="AE204" s="71">
        <f t="shared" si="90"/>
        <v>0</v>
      </c>
      <c r="AF204" s="71">
        <f t="shared" si="90"/>
        <v>0</v>
      </c>
      <c r="AG204" s="71">
        <f t="shared" si="90"/>
        <v>0</v>
      </c>
      <c r="AH204" s="71">
        <f t="shared" si="88"/>
        <v>0</v>
      </c>
      <c r="AI204" s="71">
        <f t="shared" si="88"/>
        <v>0</v>
      </c>
      <c r="AJ204" s="71">
        <f t="shared" si="88"/>
        <v>0</v>
      </c>
    </row>
    <row r="205" spans="2:36" s="599" customFormat="1">
      <c r="B205" s="600"/>
      <c r="C205" s="600"/>
      <c r="D205" s="600"/>
      <c r="E205" s="600"/>
      <c r="F205" s="600"/>
      <c r="G205" s="600"/>
      <c r="I205" s="600"/>
      <c r="J205" s="600"/>
      <c r="K205" s="600"/>
      <c r="L205" s="600"/>
      <c r="M205" s="600"/>
      <c r="N205" s="600"/>
      <c r="O205" s="601"/>
      <c r="P205" s="599">
        <v>25</v>
      </c>
      <c r="Q205" s="602">
        <v>0</v>
      </c>
      <c r="R205" s="602">
        <v>3813424</v>
      </c>
      <c r="S205" s="602">
        <v>7854127</v>
      </c>
      <c r="T205" s="602">
        <v>16176360</v>
      </c>
      <c r="U205" s="602">
        <v>24987623</v>
      </c>
      <c r="V205" s="602">
        <v>0</v>
      </c>
      <c r="X205" s="599">
        <f t="shared" si="89"/>
        <v>0</v>
      </c>
      <c r="Y205" s="599">
        <f t="shared" si="89"/>
        <v>0</v>
      </c>
      <c r="Z205" s="599">
        <f t="shared" si="89"/>
        <v>0</v>
      </c>
      <c r="AA205" s="599">
        <f t="shared" si="87"/>
        <v>0</v>
      </c>
      <c r="AB205" s="599">
        <f t="shared" si="87"/>
        <v>0</v>
      </c>
      <c r="AC205" s="599">
        <f t="shared" si="87"/>
        <v>0</v>
      </c>
      <c r="AE205" s="602">
        <f t="shared" si="90"/>
        <v>0</v>
      </c>
      <c r="AF205" s="602">
        <f t="shared" si="90"/>
        <v>0</v>
      </c>
      <c r="AG205" s="602">
        <f t="shared" si="90"/>
        <v>0</v>
      </c>
      <c r="AH205" s="602">
        <f t="shared" si="88"/>
        <v>0</v>
      </c>
      <c r="AI205" s="602">
        <f t="shared" si="88"/>
        <v>0</v>
      </c>
      <c r="AJ205" s="602">
        <f t="shared" si="88"/>
        <v>0</v>
      </c>
    </row>
    <row r="206" spans="2:36" s="605" customFormat="1">
      <c r="B206" s="604"/>
      <c r="C206" s="604"/>
      <c r="D206" s="604"/>
      <c r="E206" s="604"/>
      <c r="F206" s="604"/>
      <c r="G206" s="604"/>
      <c r="I206" s="604"/>
      <c r="J206" s="604"/>
      <c r="K206" s="604"/>
      <c r="L206" s="604"/>
      <c r="M206" s="604"/>
      <c r="N206" s="604"/>
      <c r="O206" s="606"/>
      <c r="P206" s="605">
        <v>26</v>
      </c>
      <c r="Q206" s="607">
        <v>0</v>
      </c>
      <c r="R206" s="607">
        <v>3813424</v>
      </c>
      <c r="S206" s="607">
        <v>11781190</v>
      </c>
      <c r="T206" s="607">
        <v>16176360</v>
      </c>
      <c r="U206" s="607">
        <v>24987623</v>
      </c>
      <c r="V206" s="607">
        <v>0</v>
      </c>
      <c r="X206" s="605">
        <f t="shared" si="89"/>
        <v>0</v>
      </c>
      <c r="Y206" s="605">
        <f t="shared" si="89"/>
        <v>0</v>
      </c>
      <c r="Z206" s="605">
        <f t="shared" si="89"/>
        <v>0</v>
      </c>
      <c r="AA206" s="605">
        <f t="shared" si="87"/>
        <v>0</v>
      </c>
      <c r="AB206" s="605">
        <f t="shared" si="87"/>
        <v>0</v>
      </c>
      <c r="AC206" s="605">
        <f t="shared" si="87"/>
        <v>0</v>
      </c>
      <c r="AE206" s="607">
        <f t="shared" si="90"/>
        <v>0</v>
      </c>
      <c r="AF206" s="607">
        <f t="shared" si="90"/>
        <v>0</v>
      </c>
      <c r="AG206" s="607">
        <f t="shared" si="90"/>
        <v>0</v>
      </c>
      <c r="AH206" s="607">
        <f t="shared" si="88"/>
        <v>0</v>
      </c>
      <c r="AI206" s="607">
        <f t="shared" si="88"/>
        <v>0</v>
      </c>
      <c r="AJ206" s="607">
        <f t="shared" si="88"/>
        <v>0</v>
      </c>
    </row>
    <row r="207" spans="2:36">
      <c r="B207" s="597"/>
      <c r="C207" s="597"/>
      <c r="D207" s="597"/>
      <c r="E207" s="597"/>
      <c r="F207" s="597"/>
      <c r="G207" s="597"/>
      <c r="I207" s="597"/>
      <c r="J207" s="597"/>
      <c r="K207" s="597"/>
      <c r="L207" s="597"/>
      <c r="M207" s="597"/>
      <c r="N207" s="597"/>
      <c r="O207" s="598"/>
      <c r="P207" s="90">
        <v>26</v>
      </c>
      <c r="Q207" s="71">
        <v>0</v>
      </c>
      <c r="R207" s="71">
        <v>3813424</v>
      </c>
      <c r="S207" s="71">
        <v>11781190</v>
      </c>
      <c r="T207" s="71">
        <v>16176360</v>
      </c>
      <c r="U207" s="71">
        <v>24987623</v>
      </c>
      <c r="V207" s="71">
        <v>0</v>
      </c>
      <c r="X207" s="90">
        <f t="shared" si="89"/>
        <v>0</v>
      </c>
      <c r="Y207" s="90">
        <f t="shared" si="89"/>
        <v>0</v>
      </c>
      <c r="Z207" s="90">
        <f t="shared" si="89"/>
        <v>0</v>
      </c>
      <c r="AA207" s="90">
        <f t="shared" si="87"/>
        <v>0</v>
      </c>
      <c r="AB207" s="90">
        <f t="shared" si="87"/>
        <v>0</v>
      </c>
      <c r="AC207" s="90">
        <f t="shared" si="87"/>
        <v>0</v>
      </c>
      <c r="AE207" s="71">
        <f t="shared" si="90"/>
        <v>0</v>
      </c>
      <c r="AF207" s="71">
        <f t="shared" si="90"/>
        <v>0</v>
      </c>
      <c r="AG207" s="71">
        <f t="shared" si="90"/>
        <v>0</v>
      </c>
      <c r="AH207" s="71">
        <f t="shared" si="88"/>
        <v>0</v>
      </c>
      <c r="AI207" s="71">
        <f t="shared" si="88"/>
        <v>0</v>
      </c>
      <c r="AJ207" s="71">
        <f t="shared" si="88"/>
        <v>0</v>
      </c>
    </row>
    <row r="208" spans="2:36">
      <c r="B208" s="597"/>
      <c r="C208" s="597"/>
      <c r="D208" s="597"/>
      <c r="E208" s="597"/>
      <c r="F208" s="597"/>
      <c r="G208" s="597"/>
      <c r="I208" s="597"/>
      <c r="J208" s="597"/>
      <c r="K208" s="597"/>
      <c r="L208" s="597"/>
      <c r="M208" s="597"/>
      <c r="N208" s="597"/>
      <c r="O208" s="598"/>
      <c r="P208" s="90">
        <v>26</v>
      </c>
      <c r="Q208" s="71">
        <v>0</v>
      </c>
      <c r="R208" s="71">
        <v>3813424</v>
      </c>
      <c r="S208" s="71">
        <v>11781190</v>
      </c>
      <c r="T208" s="71">
        <v>16176360</v>
      </c>
      <c r="U208" s="71">
        <v>24987623</v>
      </c>
      <c r="V208" s="71">
        <v>0</v>
      </c>
      <c r="X208" s="90">
        <f t="shared" si="89"/>
        <v>0</v>
      </c>
      <c r="Y208" s="90">
        <f t="shared" si="89"/>
        <v>0</v>
      </c>
      <c r="Z208" s="90">
        <f t="shared" si="89"/>
        <v>0</v>
      </c>
      <c r="AA208" s="90">
        <f t="shared" si="87"/>
        <v>0</v>
      </c>
      <c r="AB208" s="90">
        <f t="shared" si="87"/>
        <v>0</v>
      </c>
      <c r="AC208" s="90">
        <f t="shared" si="87"/>
        <v>0</v>
      </c>
      <c r="AE208" s="71">
        <f t="shared" si="90"/>
        <v>0</v>
      </c>
      <c r="AF208" s="71">
        <f t="shared" si="90"/>
        <v>0</v>
      </c>
      <c r="AG208" s="71">
        <f t="shared" si="90"/>
        <v>0</v>
      </c>
      <c r="AH208" s="71">
        <f t="shared" si="88"/>
        <v>0</v>
      </c>
      <c r="AI208" s="71">
        <f t="shared" si="88"/>
        <v>0</v>
      </c>
      <c r="AJ208" s="71">
        <f t="shared" si="88"/>
        <v>0</v>
      </c>
    </row>
    <row r="209" spans="2:36">
      <c r="B209" s="597"/>
      <c r="C209" s="597"/>
      <c r="D209" s="597"/>
      <c r="E209" s="597"/>
      <c r="F209" s="597"/>
      <c r="G209" s="597"/>
      <c r="I209" s="597"/>
      <c r="J209" s="597"/>
      <c r="K209" s="597"/>
      <c r="L209" s="597"/>
      <c r="M209" s="597"/>
      <c r="N209" s="597"/>
      <c r="O209" s="598"/>
      <c r="P209" s="90">
        <v>26</v>
      </c>
      <c r="Q209" s="71">
        <v>0</v>
      </c>
      <c r="R209" s="71">
        <v>3813424</v>
      </c>
      <c r="S209" s="71">
        <v>11781190</v>
      </c>
      <c r="T209" s="71">
        <v>16176360</v>
      </c>
      <c r="U209" s="71">
        <v>24987623</v>
      </c>
      <c r="V209" s="71">
        <v>0</v>
      </c>
      <c r="X209" s="90">
        <f t="shared" si="89"/>
        <v>0</v>
      </c>
      <c r="Y209" s="90">
        <f t="shared" si="89"/>
        <v>0</v>
      </c>
      <c r="Z209" s="90">
        <f t="shared" si="89"/>
        <v>0</v>
      </c>
      <c r="AA209" s="90">
        <f t="shared" si="87"/>
        <v>0</v>
      </c>
      <c r="AB209" s="90">
        <f t="shared" si="87"/>
        <v>0</v>
      </c>
      <c r="AC209" s="90">
        <f t="shared" si="87"/>
        <v>0</v>
      </c>
      <c r="AE209" s="71">
        <f t="shared" si="90"/>
        <v>0</v>
      </c>
      <c r="AF209" s="71">
        <f t="shared" si="90"/>
        <v>0</v>
      </c>
      <c r="AG209" s="71">
        <f t="shared" si="90"/>
        <v>0</v>
      </c>
      <c r="AH209" s="71">
        <f t="shared" si="88"/>
        <v>0</v>
      </c>
      <c r="AI209" s="71">
        <f t="shared" si="88"/>
        <v>0</v>
      </c>
      <c r="AJ209" s="71">
        <f t="shared" si="88"/>
        <v>0</v>
      </c>
    </row>
    <row r="210" spans="2:36">
      <c r="B210" s="597"/>
      <c r="C210" s="597"/>
      <c r="D210" s="597"/>
      <c r="E210" s="597"/>
      <c r="F210" s="597"/>
      <c r="G210" s="597"/>
      <c r="I210" s="597"/>
      <c r="J210" s="597"/>
      <c r="K210" s="597"/>
      <c r="L210" s="597"/>
      <c r="M210" s="597"/>
      <c r="N210" s="597"/>
      <c r="O210" s="598"/>
      <c r="P210" s="90">
        <v>26</v>
      </c>
      <c r="Q210" s="71">
        <v>0</v>
      </c>
      <c r="R210" s="71">
        <v>3813424</v>
      </c>
      <c r="S210" s="71">
        <v>11781190</v>
      </c>
      <c r="T210" s="71">
        <v>16176360</v>
      </c>
      <c r="U210" s="71">
        <v>24987623</v>
      </c>
      <c r="V210" s="71">
        <v>0</v>
      </c>
      <c r="X210" s="90">
        <f t="shared" si="89"/>
        <v>0</v>
      </c>
      <c r="Y210" s="90">
        <f t="shared" si="89"/>
        <v>0</v>
      </c>
      <c r="Z210" s="90">
        <f t="shared" si="89"/>
        <v>0</v>
      </c>
      <c r="AA210" s="90">
        <f t="shared" si="87"/>
        <v>0</v>
      </c>
      <c r="AB210" s="90">
        <f t="shared" si="87"/>
        <v>0</v>
      </c>
      <c r="AC210" s="90">
        <f t="shared" si="87"/>
        <v>0</v>
      </c>
      <c r="AE210" s="71">
        <f t="shared" si="90"/>
        <v>0</v>
      </c>
      <c r="AF210" s="71">
        <f t="shared" si="90"/>
        <v>0</v>
      </c>
      <c r="AG210" s="71">
        <f t="shared" si="90"/>
        <v>0</v>
      </c>
      <c r="AH210" s="71">
        <f t="shared" si="88"/>
        <v>0</v>
      </c>
      <c r="AI210" s="71">
        <f t="shared" si="88"/>
        <v>0</v>
      </c>
      <c r="AJ210" s="71">
        <f t="shared" si="88"/>
        <v>0</v>
      </c>
    </row>
    <row r="211" spans="2:36">
      <c r="B211" s="597"/>
      <c r="C211" s="597"/>
      <c r="D211" s="597"/>
      <c r="E211" s="597"/>
      <c r="F211" s="597"/>
      <c r="G211" s="597"/>
      <c r="I211" s="597"/>
      <c r="J211" s="597"/>
      <c r="K211" s="597"/>
      <c r="L211" s="597"/>
      <c r="M211" s="597"/>
      <c r="N211" s="597"/>
      <c r="O211" s="598"/>
      <c r="P211" s="90">
        <v>26</v>
      </c>
      <c r="Q211" s="71">
        <v>0</v>
      </c>
      <c r="R211" s="71">
        <v>3813424</v>
      </c>
      <c r="S211" s="71">
        <v>11781190</v>
      </c>
      <c r="T211" s="71">
        <v>16176360</v>
      </c>
      <c r="U211" s="71">
        <v>24987623</v>
      </c>
      <c r="V211" s="71">
        <v>0</v>
      </c>
      <c r="X211" s="90">
        <f t="shared" si="89"/>
        <v>0</v>
      </c>
      <c r="Y211" s="90">
        <f t="shared" si="89"/>
        <v>0</v>
      </c>
      <c r="Z211" s="90">
        <f t="shared" si="89"/>
        <v>0</v>
      </c>
      <c r="AA211" s="90">
        <f t="shared" si="87"/>
        <v>0</v>
      </c>
      <c r="AB211" s="90">
        <f t="shared" si="87"/>
        <v>0</v>
      </c>
      <c r="AC211" s="90">
        <f t="shared" si="87"/>
        <v>0</v>
      </c>
      <c r="AE211" s="71">
        <f t="shared" si="90"/>
        <v>0</v>
      </c>
      <c r="AF211" s="71">
        <f t="shared" si="90"/>
        <v>0</v>
      </c>
      <c r="AG211" s="71">
        <f t="shared" si="90"/>
        <v>0</v>
      </c>
      <c r="AH211" s="71">
        <f t="shared" si="88"/>
        <v>0</v>
      </c>
      <c r="AI211" s="71">
        <f t="shared" si="88"/>
        <v>0</v>
      </c>
      <c r="AJ211" s="71">
        <f t="shared" si="88"/>
        <v>0</v>
      </c>
    </row>
    <row r="212" spans="2:36">
      <c r="B212" s="597"/>
      <c r="C212" s="597"/>
      <c r="D212" s="597"/>
      <c r="E212" s="597"/>
      <c r="F212" s="597"/>
      <c r="G212" s="597"/>
      <c r="I212" s="597"/>
      <c r="J212" s="597"/>
      <c r="K212" s="597"/>
      <c r="L212" s="597"/>
      <c r="M212" s="597"/>
      <c r="N212" s="597"/>
      <c r="O212" s="598"/>
      <c r="P212" s="90">
        <v>26</v>
      </c>
      <c r="Q212" s="71">
        <v>0</v>
      </c>
      <c r="R212" s="71">
        <v>3813424</v>
      </c>
      <c r="S212" s="71">
        <v>11781190</v>
      </c>
      <c r="T212" s="71">
        <v>16176360</v>
      </c>
      <c r="U212" s="71">
        <v>24987623</v>
      </c>
      <c r="V212" s="71">
        <v>0</v>
      </c>
      <c r="X212" s="90">
        <f t="shared" si="89"/>
        <v>0</v>
      </c>
      <c r="Y212" s="90">
        <f t="shared" si="89"/>
        <v>0</v>
      </c>
      <c r="Z212" s="90">
        <f t="shared" si="89"/>
        <v>0</v>
      </c>
      <c r="AA212" s="90">
        <f t="shared" si="87"/>
        <v>0</v>
      </c>
      <c r="AB212" s="90">
        <f t="shared" si="87"/>
        <v>0</v>
      </c>
      <c r="AC212" s="90">
        <f t="shared" si="87"/>
        <v>0</v>
      </c>
      <c r="AE212" s="71">
        <f t="shared" si="90"/>
        <v>0</v>
      </c>
      <c r="AF212" s="71">
        <f t="shared" si="90"/>
        <v>0</v>
      </c>
      <c r="AG212" s="71">
        <f t="shared" si="90"/>
        <v>0</v>
      </c>
      <c r="AH212" s="71">
        <f t="shared" si="88"/>
        <v>0</v>
      </c>
      <c r="AI212" s="71">
        <f t="shared" si="88"/>
        <v>0</v>
      </c>
      <c r="AJ212" s="71">
        <f t="shared" si="88"/>
        <v>0</v>
      </c>
    </row>
    <row r="213" spans="2:36" s="599" customFormat="1">
      <c r="B213" s="600"/>
      <c r="C213" s="600"/>
      <c r="D213" s="600"/>
      <c r="E213" s="600"/>
      <c r="F213" s="600"/>
      <c r="G213" s="600"/>
      <c r="I213" s="600"/>
      <c r="J213" s="600"/>
      <c r="K213" s="600"/>
      <c r="L213" s="600"/>
      <c r="M213" s="600"/>
      <c r="N213" s="600"/>
      <c r="O213" s="601"/>
      <c r="P213" s="599">
        <v>26</v>
      </c>
      <c r="Q213" s="602">
        <v>0</v>
      </c>
      <c r="R213" s="602">
        <v>3813424</v>
      </c>
      <c r="S213" s="602">
        <v>11781190</v>
      </c>
      <c r="T213" s="602">
        <v>16176360</v>
      </c>
      <c r="U213" s="602">
        <v>24987623</v>
      </c>
      <c r="V213" s="602">
        <v>0</v>
      </c>
      <c r="X213" s="599">
        <f t="shared" si="89"/>
        <v>0</v>
      </c>
      <c r="Y213" s="599">
        <f t="shared" si="89"/>
        <v>0</v>
      </c>
      <c r="Z213" s="599">
        <f t="shared" si="89"/>
        <v>0</v>
      </c>
      <c r="AA213" s="599">
        <f t="shared" si="87"/>
        <v>0</v>
      </c>
      <c r="AB213" s="599">
        <f t="shared" si="87"/>
        <v>0</v>
      </c>
      <c r="AC213" s="599">
        <f t="shared" si="87"/>
        <v>0</v>
      </c>
      <c r="AE213" s="602">
        <f t="shared" si="90"/>
        <v>0</v>
      </c>
      <c r="AF213" s="602">
        <f t="shared" si="90"/>
        <v>0</v>
      </c>
      <c r="AG213" s="602">
        <f t="shared" si="90"/>
        <v>0</v>
      </c>
      <c r="AH213" s="602">
        <f t="shared" si="88"/>
        <v>0</v>
      </c>
      <c r="AI213" s="602">
        <f t="shared" si="88"/>
        <v>0</v>
      </c>
      <c r="AJ213" s="602">
        <f t="shared" si="88"/>
        <v>0</v>
      </c>
    </row>
    <row r="214" spans="2:36" s="605" customFormat="1">
      <c r="B214" s="604"/>
      <c r="C214" s="604"/>
      <c r="D214" s="604"/>
      <c r="E214" s="604"/>
      <c r="F214" s="604"/>
      <c r="G214" s="604"/>
      <c r="I214" s="604"/>
      <c r="J214" s="604"/>
      <c r="K214" s="604"/>
      <c r="L214" s="604"/>
      <c r="M214" s="604"/>
      <c r="N214" s="604"/>
      <c r="O214" s="606"/>
      <c r="P214" s="605">
        <v>27</v>
      </c>
      <c r="Q214" s="607">
        <v>0</v>
      </c>
      <c r="R214" s="607">
        <v>0</v>
      </c>
      <c r="S214" s="607">
        <v>0</v>
      </c>
      <c r="T214" s="607">
        <v>0</v>
      </c>
      <c r="U214" s="607">
        <v>0</v>
      </c>
      <c r="V214" s="607">
        <v>0</v>
      </c>
      <c r="X214" s="605">
        <f t="shared" si="89"/>
        <v>0</v>
      </c>
      <c r="Y214" s="605">
        <f t="shared" si="89"/>
        <v>0</v>
      </c>
      <c r="Z214" s="605">
        <f t="shared" si="89"/>
        <v>0</v>
      </c>
      <c r="AA214" s="605">
        <f t="shared" si="87"/>
        <v>0</v>
      </c>
      <c r="AB214" s="605">
        <f t="shared" si="87"/>
        <v>0</v>
      </c>
      <c r="AC214" s="605">
        <f t="shared" si="87"/>
        <v>0</v>
      </c>
      <c r="AE214" s="607">
        <f t="shared" si="90"/>
        <v>0</v>
      </c>
      <c r="AF214" s="607">
        <f t="shared" si="90"/>
        <v>0</v>
      </c>
      <c r="AG214" s="607">
        <f t="shared" si="90"/>
        <v>0</v>
      </c>
      <c r="AH214" s="607">
        <f t="shared" si="88"/>
        <v>0</v>
      </c>
      <c r="AI214" s="607">
        <f t="shared" si="88"/>
        <v>0</v>
      </c>
      <c r="AJ214" s="607">
        <f t="shared" si="88"/>
        <v>0</v>
      </c>
    </row>
    <row r="215" spans="2:36">
      <c r="B215" s="597"/>
      <c r="C215" s="597"/>
      <c r="D215" s="597"/>
      <c r="E215" s="597"/>
      <c r="F215" s="597"/>
      <c r="G215" s="597"/>
      <c r="I215" s="597"/>
      <c r="J215" s="597"/>
      <c r="K215" s="597"/>
      <c r="L215" s="597"/>
      <c r="M215" s="597"/>
      <c r="N215" s="597"/>
      <c r="O215" s="598"/>
      <c r="P215" s="90">
        <v>27</v>
      </c>
      <c r="Q215" s="71">
        <v>0</v>
      </c>
      <c r="R215" s="71">
        <v>0</v>
      </c>
      <c r="S215" s="71">
        <v>0</v>
      </c>
      <c r="T215" s="71">
        <v>0</v>
      </c>
      <c r="U215" s="71">
        <v>0</v>
      </c>
      <c r="V215" s="71">
        <v>0</v>
      </c>
      <c r="X215" s="90">
        <f t="shared" si="89"/>
        <v>0</v>
      </c>
      <c r="Y215" s="90">
        <f t="shared" si="89"/>
        <v>0</v>
      </c>
      <c r="Z215" s="90">
        <f t="shared" si="89"/>
        <v>0</v>
      </c>
      <c r="AA215" s="90">
        <f t="shared" si="87"/>
        <v>0</v>
      </c>
      <c r="AB215" s="90">
        <f t="shared" si="87"/>
        <v>0</v>
      </c>
      <c r="AC215" s="90">
        <f t="shared" si="87"/>
        <v>0</v>
      </c>
      <c r="AE215" s="71">
        <f t="shared" si="90"/>
        <v>0</v>
      </c>
      <c r="AF215" s="71">
        <f t="shared" si="90"/>
        <v>0</v>
      </c>
      <c r="AG215" s="71">
        <f t="shared" si="90"/>
        <v>0</v>
      </c>
      <c r="AH215" s="71">
        <f t="shared" si="88"/>
        <v>0</v>
      </c>
      <c r="AI215" s="71">
        <f t="shared" si="88"/>
        <v>0</v>
      </c>
      <c r="AJ215" s="71">
        <f t="shared" si="88"/>
        <v>0</v>
      </c>
    </row>
    <row r="216" spans="2:36">
      <c r="B216" s="597"/>
      <c r="C216" s="597"/>
      <c r="D216" s="597"/>
      <c r="E216" s="597"/>
      <c r="F216" s="597"/>
      <c r="G216" s="597"/>
      <c r="I216" s="597"/>
      <c r="J216" s="597"/>
      <c r="K216" s="597"/>
      <c r="L216" s="597"/>
      <c r="M216" s="597"/>
      <c r="N216" s="597"/>
      <c r="O216" s="598"/>
      <c r="P216" s="90">
        <v>27</v>
      </c>
      <c r="Q216" s="71">
        <v>0</v>
      </c>
      <c r="R216" s="71">
        <v>0</v>
      </c>
      <c r="S216" s="71">
        <v>0</v>
      </c>
      <c r="T216" s="71">
        <v>0</v>
      </c>
      <c r="U216" s="71">
        <v>0</v>
      </c>
      <c r="V216" s="71">
        <v>0</v>
      </c>
      <c r="X216" s="90">
        <f t="shared" si="89"/>
        <v>0</v>
      </c>
      <c r="Y216" s="90">
        <f t="shared" si="89"/>
        <v>0</v>
      </c>
      <c r="Z216" s="90">
        <f t="shared" si="89"/>
        <v>0</v>
      </c>
      <c r="AA216" s="90">
        <f t="shared" si="87"/>
        <v>0</v>
      </c>
      <c r="AB216" s="90">
        <f t="shared" si="87"/>
        <v>0</v>
      </c>
      <c r="AC216" s="90">
        <f t="shared" si="87"/>
        <v>0</v>
      </c>
      <c r="AE216" s="71">
        <f t="shared" si="90"/>
        <v>0</v>
      </c>
      <c r="AF216" s="71">
        <f t="shared" si="90"/>
        <v>0</v>
      </c>
      <c r="AG216" s="71">
        <f t="shared" si="90"/>
        <v>0</v>
      </c>
      <c r="AH216" s="71">
        <f t="shared" si="88"/>
        <v>0</v>
      </c>
      <c r="AI216" s="71">
        <f t="shared" si="88"/>
        <v>0</v>
      </c>
      <c r="AJ216" s="71">
        <f t="shared" si="88"/>
        <v>0</v>
      </c>
    </row>
    <row r="217" spans="2:36">
      <c r="B217" s="597"/>
      <c r="C217" s="597"/>
      <c r="D217" s="597"/>
      <c r="E217" s="597"/>
      <c r="F217" s="597"/>
      <c r="G217" s="597"/>
      <c r="I217" s="597"/>
      <c r="J217" s="597"/>
      <c r="K217" s="597"/>
      <c r="L217" s="597"/>
      <c r="M217" s="597"/>
      <c r="N217" s="597"/>
      <c r="O217" s="598"/>
      <c r="P217" s="90">
        <v>27</v>
      </c>
      <c r="Q217" s="71">
        <v>0</v>
      </c>
      <c r="R217" s="71">
        <v>0</v>
      </c>
      <c r="S217" s="71">
        <v>0</v>
      </c>
      <c r="T217" s="71">
        <v>0</v>
      </c>
      <c r="U217" s="71">
        <v>0</v>
      </c>
      <c r="V217" s="71">
        <v>0</v>
      </c>
      <c r="X217" s="90">
        <f t="shared" si="89"/>
        <v>0</v>
      </c>
      <c r="Y217" s="90">
        <f t="shared" si="89"/>
        <v>0</v>
      </c>
      <c r="Z217" s="90">
        <f t="shared" si="89"/>
        <v>0</v>
      </c>
      <c r="AA217" s="90">
        <f t="shared" si="87"/>
        <v>0</v>
      </c>
      <c r="AB217" s="90">
        <f t="shared" si="87"/>
        <v>0</v>
      </c>
      <c r="AC217" s="90">
        <f t="shared" si="87"/>
        <v>0</v>
      </c>
      <c r="AE217" s="71">
        <f t="shared" si="90"/>
        <v>0</v>
      </c>
      <c r="AF217" s="71">
        <f t="shared" si="90"/>
        <v>0</v>
      </c>
      <c r="AG217" s="71">
        <f t="shared" si="90"/>
        <v>0</v>
      </c>
      <c r="AH217" s="71">
        <f t="shared" si="88"/>
        <v>0</v>
      </c>
      <c r="AI217" s="71">
        <f t="shared" si="88"/>
        <v>0</v>
      </c>
      <c r="AJ217" s="71">
        <f t="shared" si="88"/>
        <v>0</v>
      </c>
    </row>
    <row r="218" spans="2:36">
      <c r="B218" s="597"/>
      <c r="C218" s="597"/>
      <c r="D218" s="597"/>
      <c r="E218" s="597"/>
      <c r="F218" s="597"/>
      <c r="G218" s="597"/>
      <c r="I218" s="597"/>
      <c r="J218" s="597"/>
      <c r="K218" s="597"/>
      <c r="L218" s="597"/>
      <c r="M218" s="597"/>
      <c r="N218" s="597"/>
      <c r="O218" s="598"/>
      <c r="P218" s="90">
        <v>27</v>
      </c>
      <c r="Q218" s="71">
        <v>0</v>
      </c>
      <c r="R218" s="71">
        <v>0</v>
      </c>
      <c r="S218" s="71">
        <v>0</v>
      </c>
      <c r="T218" s="71">
        <v>0</v>
      </c>
      <c r="U218" s="71">
        <v>0</v>
      </c>
      <c r="V218" s="71">
        <v>0</v>
      </c>
      <c r="X218" s="90">
        <f t="shared" si="89"/>
        <v>0</v>
      </c>
      <c r="Y218" s="90">
        <f t="shared" si="89"/>
        <v>0</v>
      </c>
      <c r="Z218" s="90">
        <f t="shared" si="89"/>
        <v>0</v>
      </c>
      <c r="AA218" s="90">
        <f t="shared" si="87"/>
        <v>0</v>
      </c>
      <c r="AB218" s="90">
        <f t="shared" si="87"/>
        <v>0</v>
      </c>
      <c r="AC218" s="90">
        <f t="shared" si="87"/>
        <v>0</v>
      </c>
      <c r="AE218" s="71">
        <f t="shared" si="90"/>
        <v>0</v>
      </c>
      <c r="AF218" s="71">
        <f t="shared" si="90"/>
        <v>0</v>
      </c>
      <c r="AG218" s="71">
        <f t="shared" si="90"/>
        <v>0</v>
      </c>
      <c r="AH218" s="71">
        <f t="shared" si="88"/>
        <v>0</v>
      </c>
      <c r="AI218" s="71">
        <f t="shared" si="88"/>
        <v>0</v>
      </c>
      <c r="AJ218" s="71">
        <f t="shared" si="88"/>
        <v>0</v>
      </c>
    </row>
    <row r="219" spans="2:36">
      <c r="B219" s="597"/>
      <c r="C219" s="597"/>
      <c r="D219" s="597"/>
      <c r="E219" s="597"/>
      <c r="F219" s="597"/>
      <c r="G219" s="597"/>
      <c r="I219" s="597"/>
      <c r="J219" s="597"/>
      <c r="K219" s="597"/>
      <c r="L219" s="597"/>
      <c r="M219" s="597"/>
      <c r="N219" s="597"/>
      <c r="O219" s="598"/>
      <c r="P219" s="90">
        <v>27</v>
      </c>
      <c r="Q219" s="71">
        <v>0</v>
      </c>
      <c r="R219" s="71">
        <v>0</v>
      </c>
      <c r="S219" s="71">
        <v>0</v>
      </c>
      <c r="T219" s="71">
        <v>0</v>
      </c>
      <c r="U219" s="71">
        <v>0</v>
      </c>
      <c r="V219" s="71">
        <v>0</v>
      </c>
      <c r="X219" s="90">
        <f t="shared" si="89"/>
        <v>0</v>
      </c>
      <c r="Y219" s="90">
        <f t="shared" si="89"/>
        <v>0</v>
      </c>
      <c r="Z219" s="90">
        <f t="shared" si="89"/>
        <v>0</v>
      </c>
      <c r="AA219" s="90">
        <f t="shared" si="87"/>
        <v>0</v>
      </c>
      <c r="AB219" s="90">
        <f t="shared" si="87"/>
        <v>0</v>
      </c>
      <c r="AC219" s="90">
        <f t="shared" si="87"/>
        <v>0</v>
      </c>
      <c r="AE219" s="71">
        <f t="shared" si="90"/>
        <v>0</v>
      </c>
      <c r="AF219" s="71">
        <f t="shared" si="90"/>
        <v>0</v>
      </c>
      <c r="AG219" s="71">
        <f t="shared" si="90"/>
        <v>0</v>
      </c>
      <c r="AH219" s="71">
        <f t="shared" si="88"/>
        <v>0</v>
      </c>
      <c r="AI219" s="71">
        <f t="shared" si="88"/>
        <v>0</v>
      </c>
      <c r="AJ219" s="71">
        <f t="shared" si="88"/>
        <v>0</v>
      </c>
    </row>
    <row r="220" spans="2:36">
      <c r="B220" s="597"/>
      <c r="C220" s="597"/>
      <c r="D220" s="597"/>
      <c r="E220" s="597"/>
      <c r="F220" s="597"/>
      <c r="G220" s="597"/>
      <c r="I220" s="597"/>
      <c r="J220" s="597"/>
      <c r="K220" s="597"/>
      <c r="L220" s="597"/>
      <c r="M220" s="597"/>
      <c r="N220" s="597"/>
      <c r="O220" s="598"/>
      <c r="P220" s="90">
        <v>27</v>
      </c>
      <c r="Q220" s="71">
        <v>0</v>
      </c>
      <c r="R220" s="71">
        <v>0</v>
      </c>
      <c r="S220" s="71">
        <v>0</v>
      </c>
      <c r="T220" s="71">
        <v>0</v>
      </c>
      <c r="U220" s="71">
        <v>0</v>
      </c>
      <c r="V220" s="71">
        <v>0</v>
      </c>
      <c r="X220" s="90">
        <f t="shared" si="89"/>
        <v>0</v>
      </c>
      <c r="Y220" s="90">
        <f t="shared" si="89"/>
        <v>0</v>
      </c>
      <c r="Z220" s="90">
        <f t="shared" si="89"/>
        <v>0</v>
      </c>
      <c r="AA220" s="90">
        <f t="shared" si="87"/>
        <v>0</v>
      </c>
      <c r="AB220" s="90">
        <f t="shared" si="87"/>
        <v>0</v>
      </c>
      <c r="AC220" s="90">
        <f t="shared" si="87"/>
        <v>0</v>
      </c>
      <c r="AE220" s="71">
        <f t="shared" si="90"/>
        <v>0</v>
      </c>
      <c r="AF220" s="71">
        <f t="shared" si="90"/>
        <v>0</v>
      </c>
      <c r="AG220" s="71">
        <f t="shared" si="90"/>
        <v>0</v>
      </c>
      <c r="AH220" s="71">
        <f t="shared" si="88"/>
        <v>0</v>
      </c>
      <c r="AI220" s="71">
        <f t="shared" si="88"/>
        <v>0</v>
      </c>
      <c r="AJ220" s="71">
        <f t="shared" si="88"/>
        <v>0</v>
      </c>
    </row>
    <row r="221" spans="2:36" s="599" customFormat="1">
      <c r="B221" s="600"/>
      <c r="C221" s="600"/>
      <c r="D221" s="600"/>
      <c r="E221" s="600"/>
      <c r="F221" s="600"/>
      <c r="G221" s="600"/>
      <c r="I221" s="600"/>
      <c r="J221" s="600"/>
      <c r="K221" s="600"/>
      <c r="L221" s="600"/>
      <c r="M221" s="600"/>
      <c r="N221" s="600"/>
      <c r="O221" s="601"/>
      <c r="P221" s="599">
        <v>27</v>
      </c>
      <c r="Q221" s="602">
        <v>0</v>
      </c>
      <c r="R221" s="602">
        <v>0</v>
      </c>
      <c r="S221" s="602">
        <v>0</v>
      </c>
      <c r="T221" s="602">
        <v>0</v>
      </c>
      <c r="U221" s="602">
        <v>0</v>
      </c>
      <c r="V221" s="602">
        <v>0</v>
      </c>
      <c r="X221" s="599">
        <f t="shared" si="89"/>
        <v>0</v>
      </c>
      <c r="Y221" s="599">
        <f t="shared" si="89"/>
        <v>0</v>
      </c>
      <c r="Z221" s="599">
        <f t="shared" si="89"/>
        <v>0</v>
      </c>
      <c r="AA221" s="599">
        <f t="shared" si="87"/>
        <v>0</v>
      </c>
      <c r="AB221" s="599">
        <f t="shared" si="87"/>
        <v>0</v>
      </c>
      <c r="AC221" s="599">
        <f t="shared" si="87"/>
        <v>0</v>
      </c>
      <c r="AE221" s="602">
        <f t="shared" si="90"/>
        <v>0</v>
      </c>
      <c r="AF221" s="602">
        <f t="shared" si="90"/>
        <v>0</v>
      </c>
      <c r="AG221" s="602">
        <f t="shared" si="90"/>
        <v>0</v>
      </c>
      <c r="AH221" s="602">
        <f t="shared" si="88"/>
        <v>0</v>
      </c>
      <c r="AI221" s="602">
        <f t="shared" si="88"/>
        <v>0</v>
      </c>
      <c r="AJ221" s="602">
        <f t="shared" si="88"/>
        <v>0</v>
      </c>
    </row>
    <row r="222" spans="2:36" s="605" customFormat="1">
      <c r="B222" s="604"/>
      <c r="C222" s="604"/>
      <c r="D222" s="604"/>
      <c r="E222" s="604"/>
      <c r="F222" s="604"/>
      <c r="G222" s="604"/>
      <c r="I222" s="604"/>
      <c r="J222" s="604"/>
      <c r="K222" s="604"/>
      <c r="L222" s="604"/>
      <c r="M222" s="604"/>
      <c r="N222" s="604"/>
      <c r="O222" s="606"/>
      <c r="P222" s="605">
        <v>28</v>
      </c>
      <c r="Q222" s="607">
        <v>0</v>
      </c>
      <c r="R222" s="607">
        <v>0</v>
      </c>
      <c r="S222" s="607">
        <v>0</v>
      </c>
      <c r="T222" s="607">
        <v>0</v>
      </c>
      <c r="U222" s="607">
        <v>0</v>
      </c>
      <c r="V222" s="607">
        <v>0</v>
      </c>
      <c r="X222" s="605">
        <f t="shared" si="89"/>
        <v>0</v>
      </c>
      <c r="Y222" s="605">
        <f t="shared" si="89"/>
        <v>0</v>
      </c>
      <c r="Z222" s="605">
        <f t="shared" si="89"/>
        <v>0</v>
      </c>
      <c r="AA222" s="605">
        <f t="shared" si="87"/>
        <v>0</v>
      </c>
      <c r="AB222" s="605">
        <f t="shared" si="87"/>
        <v>0</v>
      </c>
      <c r="AC222" s="605">
        <f t="shared" si="87"/>
        <v>0</v>
      </c>
      <c r="AE222" s="607">
        <f t="shared" si="90"/>
        <v>0</v>
      </c>
      <c r="AF222" s="607">
        <f t="shared" si="90"/>
        <v>0</v>
      </c>
      <c r="AG222" s="607">
        <f t="shared" si="90"/>
        <v>0</v>
      </c>
      <c r="AH222" s="607">
        <f t="shared" si="88"/>
        <v>0</v>
      </c>
      <c r="AI222" s="607">
        <f t="shared" si="88"/>
        <v>0</v>
      </c>
      <c r="AJ222" s="607">
        <f t="shared" si="88"/>
        <v>0</v>
      </c>
    </row>
    <row r="223" spans="2:36">
      <c r="B223" s="597"/>
      <c r="C223" s="597"/>
      <c r="D223" s="597"/>
      <c r="E223" s="597"/>
      <c r="F223" s="597"/>
      <c r="G223" s="597"/>
      <c r="I223" s="597"/>
      <c r="J223" s="597"/>
      <c r="K223" s="597"/>
      <c r="L223" s="597"/>
      <c r="M223" s="597"/>
      <c r="N223" s="597"/>
      <c r="O223" s="598"/>
      <c r="P223" s="90">
        <v>28</v>
      </c>
      <c r="Q223" s="71">
        <v>0</v>
      </c>
      <c r="R223" s="71">
        <v>0</v>
      </c>
      <c r="S223" s="71">
        <v>0</v>
      </c>
      <c r="T223" s="71">
        <v>0</v>
      </c>
      <c r="U223" s="71">
        <v>0</v>
      </c>
      <c r="V223" s="71">
        <v>0</v>
      </c>
      <c r="X223" s="90">
        <f t="shared" si="89"/>
        <v>0</v>
      </c>
      <c r="Y223" s="90">
        <f t="shared" si="89"/>
        <v>0</v>
      </c>
      <c r="Z223" s="90">
        <f t="shared" si="89"/>
        <v>0</v>
      </c>
      <c r="AA223" s="90">
        <f t="shared" si="87"/>
        <v>0</v>
      </c>
      <c r="AB223" s="90">
        <f t="shared" si="87"/>
        <v>0</v>
      </c>
      <c r="AC223" s="90">
        <f t="shared" si="87"/>
        <v>0</v>
      </c>
      <c r="AE223" s="71">
        <f t="shared" si="90"/>
        <v>0</v>
      </c>
      <c r="AF223" s="71">
        <f t="shared" si="90"/>
        <v>0</v>
      </c>
      <c r="AG223" s="71">
        <f t="shared" si="90"/>
        <v>0</v>
      </c>
      <c r="AH223" s="71">
        <f t="shared" si="88"/>
        <v>0</v>
      </c>
      <c r="AI223" s="71">
        <f t="shared" si="88"/>
        <v>0</v>
      </c>
      <c r="AJ223" s="71">
        <f t="shared" si="88"/>
        <v>0</v>
      </c>
    </row>
    <row r="224" spans="2:36">
      <c r="B224" s="597"/>
      <c r="C224" s="597"/>
      <c r="D224" s="597"/>
      <c r="E224" s="597"/>
      <c r="F224" s="597"/>
      <c r="G224" s="597"/>
      <c r="I224" s="597"/>
      <c r="J224" s="597"/>
      <c r="K224" s="597"/>
      <c r="L224" s="597"/>
      <c r="M224" s="597"/>
      <c r="N224" s="597"/>
      <c r="O224" s="598"/>
      <c r="P224" s="90">
        <v>28</v>
      </c>
      <c r="Q224" s="71">
        <v>0</v>
      </c>
      <c r="R224" s="71">
        <v>0</v>
      </c>
      <c r="S224" s="71">
        <v>0</v>
      </c>
      <c r="T224" s="71">
        <v>0</v>
      </c>
      <c r="U224" s="71">
        <v>0</v>
      </c>
      <c r="V224" s="71">
        <v>0</v>
      </c>
      <c r="X224" s="90">
        <f t="shared" si="89"/>
        <v>0</v>
      </c>
      <c r="Y224" s="90">
        <f t="shared" si="89"/>
        <v>0</v>
      </c>
      <c r="Z224" s="90">
        <f t="shared" si="89"/>
        <v>0</v>
      </c>
      <c r="AA224" s="90">
        <f t="shared" si="87"/>
        <v>0</v>
      </c>
      <c r="AB224" s="90">
        <f t="shared" si="87"/>
        <v>0</v>
      </c>
      <c r="AC224" s="90">
        <f t="shared" si="87"/>
        <v>0</v>
      </c>
      <c r="AE224" s="71">
        <f t="shared" si="90"/>
        <v>0</v>
      </c>
      <c r="AF224" s="71">
        <f t="shared" si="90"/>
        <v>0</v>
      </c>
      <c r="AG224" s="71">
        <f t="shared" si="90"/>
        <v>0</v>
      </c>
      <c r="AH224" s="71">
        <f t="shared" si="88"/>
        <v>0</v>
      </c>
      <c r="AI224" s="71">
        <f t="shared" si="88"/>
        <v>0</v>
      </c>
      <c r="AJ224" s="71">
        <f t="shared" si="88"/>
        <v>0</v>
      </c>
    </row>
    <row r="225" spans="2:36">
      <c r="B225" s="597"/>
      <c r="C225" s="597"/>
      <c r="D225" s="597"/>
      <c r="E225" s="597"/>
      <c r="F225" s="597"/>
      <c r="G225" s="597"/>
      <c r="I225" s="597"/>
      <c r="J225" s="597"/>
      <c r="K225" s="597"/>
      <c r="L225" s="597"/>
      <c r="M225" s="597"/>
      <c r="N225" s="597"/>
      <c r="O225" s="598"/>
      <c r="P225" s="90">
        <v>28</v>
      </c>
      <c r="Q225" s="71">
        <v>0</v>
      </c>
      <c r="R225" s="71">
        <v>0</v>
      </c>
      <c r="S225" s="71">
        <v>0</v>
      </c>
      <c r="T225" s="71">
        <v>0</v>
      </c>
      <c r="U225" s="71">
        <v>0</v>
      </c>
      <c r="V225" s="71">
        <v>0</v>
      </c>
      <c r="X225" s="90">
        <f t="shared" si="89"/>
        <v>0</v>
      </c>
      <c r="Y225" s="90">
        <f t="shared" si="89"/>
        <v>0</v>
      </c>
      <c r="Z225" s="90">
        <f t="shared" si="89"/>
        <v>0</v>
      </c>
      <c r="AA225" s="90">
        <f t="shared" si="87"/>
        <v>0</v>
      </c>
      <c r="AB225" s="90">
        <f t="shared" si="87"/>
        <v>0</v>
      </c>
      <c r="AC225" s="90">
        <f t="shared" si="87"/>
        <v>0</v>
      </c>
      <c r="AE225" s="71">
        <f t="shared" si="90"/>
        <v>0</v>
      </c>
      <c r="AF225" s="71">
        <f t="shared" si="90"/>
        <v>0</v>
      </c>
      <c r="AG225" s="71">
        <f t="shared" si="90"/>
        <v>0</v>
      </c>
      <c r="AH225" s="71">
        <f t="shared" si="88"/>
        <v>0</v>
      </c>
      <c r="AI225" s="71">
        <f t="shared" si="88"/>
        <v>0</v>
      </c>
      <c r="AJ225" s="71">
        <f t="shared" si="88"/>
        <v>0</v>
      </c>
    </row>
    <row r="226" spans="2:36">
      <c r="B226" s="597"/>
      <c r="C226" s="597"/>
      <c r="D226" s="597"/>
      <c r="E226" s="597"/>
      <c r="F226" s="597"/>
      <c r="G226" s="597"/>
      <c r="I226" s="597"/>
      <c r="J226" s="597"/>
      <c r="K226" s="597"/>
      <c r="L226" s="597"/>
      <c r="M226" s="597"/>
      <c r="N226" s="597"/>
      <c r="O226" s="598"/>
      <c r="P226" s="90">
        <v>28</v>
      </c>
      <c r="Q226" s="71">
        <v>0</v>
      </c>
      <c r="R226" s="71">
        <v>0</v>
      </c>
      <c r="S226" s="71">
        <v>0</v>
      </c>
      <c r="T226" s="71">
        <v>0</v>
      </c>
      <c r="U226" s="71">
        <v>0</v>
      </c>
      <c r="V226" s="71">
        <v>0</v>
      </c>
      <c r="X226" s="90">
        <f t="shared" si="89"/>
        <v>0</v>
      </c>
      <c r="Y226" s="90">
        <f t="shared" si="89"/>
        <v>0</v>
      </c>
      <c r="Z226" s="90">
        <f t="shared" si="89"/>
        <v>0</v>
      </c>
      <c r="AA226" s="90">
        <f t="shared" si="87"/>
        <v>0</v>
      </c>
      <c r="AB226" s="90">
        <f t="shared" si="87"/>
        <v>0</v>
      </c>
      <c r="AC226" s="90">
        <f t="shared" si="87"/>
        <v>0</v>
      </c>
      <c r="AE226" s="71">
        <f t="shared" si="90"/>
        <v>0</v>
      </c>
      <c r="AF226" s="71">
        <f t="shared" si="90"/>
        <v>0</v>
      </c>
      <c r="AG226" s="71">
        <f t="shared" si="90"/>
        <v>0</v>
      </c>
      <c r="AH226" s="71">
        <f t="shared" si="88"/>
        <v>0</v>
      </c>
      <c r="AI226" s="71">
        <f t="shared" si="88"/>
        <v>0</v>
      </c>
      <c r="AJ226" s="71">
        <f t="shared" si="88"/>
        <v>0</v>
      </c>
    </row>
    <row r="227" spans="2:36">
      <c r="B227" s="597"/>
      <c r="C227" s="597"/>
      <c r="D227" s="597"/>
      <c r="E227" s="597"/>
      <c r="F227" s="597"/>
      <c r="G227" s="597"/>
      <c r="I227" s="597"/>
      <c r="J227" s="597"/>
      <c r="K227" s="597"/>
      <c r="L227" s="597"/>
      <c r="M227" s="597"/>
      <c r="N227" s="597"/>
      <c r="O227" s="598"/>
      <c r="P227" s="90">
        <v>28</v>
      </c>
      <c r="Q227" s="71">
        <v>0</v>
      </c>
      <c r="R227" s="71">
        <v>0</v>
      </c>
      <c r="S227" s="71">
        <v>0</v>
      </c>
      <c r="T227" s="71">
        <v>0</v>
      </c>
      <c r="U227" s="71">
        <v>0</v>
      </c>
      <c r="V227" s="71">
        <v>0</v>
      </c>
      <c r="X227" s="90">
        <f t="shared" si="89"/>
        <v>0</v>
      </c>
      <c r="Y227" s="90">
        <f t="shared" si="89"/>
        <v>0</v>
      </c>
      <c r="Z227" s="90">
        <f t="shared" si="89"/>
        <v>0</v>
      </c>
      <c r="AA227" s="90">
        <f t="shared" si="87"/>
        <v>0</v>
      </c>
      <c r="AB227" s="90">
        <f t="shared" si="87"/>
        <v>0</v>
      </c>
      <c r="AC227" s="90">
        <f t="shared" si="87"/>
        <v>0</v>
      </c>
      <c r="AE227" s="71">
        <f t="shared" si="90"/>
        <v>0</v>
      </c>
      <c r="AF227" s="71">
        <f t="shared" si="90"/>
        <v>0</v>
      </c>
      <c r="AG227" s="71">
        <f t="shared" si="90"/>
        <v>0</v>
      </c>
      <c r="AH227" s="71">
        <f t="shared" si="88"/>
        <v>0</v>
      </c>
      <c r="AI227" s="71">
        <f t="shared" si="88"/>
        <v>0</v>
      </c>
      <c r="AJ227" s="71">
        <f t="shared" si="88"/>
        <v>0</v>
      </c>
    </row>
    <row r="228" spans="2:36">
      <c r="B228" s="597"/>
      <c r="C228" s="597"/>
      <c r="D228" s="597"/>
      <c r="E228" s="597"/>
      <c r="F228" s="597"/>
      <c r="G228" s="597"/>
      <c r="I228" s="597"/>
      <c r="J228" s="597"/>
      <c r="K228" s="597"/>
      <c r="L228" s="597"/>
      <c r="M228" s="597"/>
      <c r="N228" s="597"/>
      <c r="O228" s="598"/>
      <c r="P228" s="90">
        <v>28</v>
      </c>
      <c r="Q228" s="71">
        <v>0</v>
      </c>
      <c r="R228" s="71">
        <v>0</v>
      </c>
      <c r="S228" s="71">
        <v>0</v>
      </c>
      <c r="T228" s="71">
        <v>0</v>
      </c>
      <c r="U228" s="71">
        <v>0</v>
      </c>
      <c r="V228" s="71">
        <v>0</v>
      </c>
      <c r="X228" s="90">
        <f t="shared" si="89"/>
        <v>0</v>
      </c>
      <c r="Y228" s="90">
        <f t="shared" si="89"/>
        <v>0</v>
      </c>
      <c r="Z228" s="90">
        <f t="shared" si="89"/>
        <v>0</v>
      </c>
      <c r="AA228" s="90">
        <f t="shared" si="87"/>
        <v>0</v>
      </c>
      <c r="AB228" s="90">
        <f t="shared" si="87"/>
        <v>0</v>
      </c>
      <c r="AC228" s="90">
        <f t="shared" si="87"/>
        <v>0</v>
      </c>
      <c r="AE228" s="71">
        <f t="shared" si="90"/>
        <v>0</v>
      </c>
      <c r="AF228" s="71">
        <f t="shared" si="90"/>
        <v>0</v>
      </c>
      <c r="AG228" s="71">
        <f t="shared" si="90"/>
        <v>0</v>
      </c>
      <c r="AH228" s="71">
        <f t="shared" si="88"/>
        <v>0</v>
      </c>
      <c r="AI228" s="71">
        <f t="shared" si="88"/>
        <v>0</v>
      </c>
      <c r="AJ228" s="71">
        <f t="shared" si="88"/>
        <v>0</v>
      </c>
    </row>
    <row r="229" spans="2:36" s="599" customFormat="1">
      <c r="B229" s="600"/>
      <c r="C229" s="600"/>
      <c r="D229" s="600"/>
      <c r="E229" s="600"/>
      <c r="F229" s="600"/>
      <c r="G229" s="600"/>
      <c r="I229" s="600"/>
      <c r="J229" s="600"/>
      <c r="K229" s="600"/>
      <c r="L229" s="600"/>
      <c r="M229" s="600"/>
      <c r="N229" s="600"/>
      <c r="O229" s="601"/>
      <c r="P229" s="599">
        <v>28</v>
      </c>
      <c r="Q229" s="602">
        <v>0</v>
      </c>
      <c r="R229" s="602">
        <v>0</v>
      </c>
      <c r="S229" s="602">
        <v>0</v>
      </c>
      <c r="T229" s="602">
        <v>0</v>
      </c>
      <c r="U229" s="602">
        <v>0</v>
      </c>
      <c r="V229" s="602">
        <v>0</v>
      </c>
      <c r="X229" s="599">
        <f t="shared" si="89"/>
        <v>0</v>
      </c>
      <c r="Y229" s="599">
        <f t="shared" si="89"/>
        <v>0</v>
      </c>
      <c r="Z229" s="599">
        <f t="shared" si="89"/>
        <v>0</v>
      </c>
      <c r="AA229" s="599">
        <f t="shared" si="87"/>
        <v>0</v>
      </c>
      <c r="AB229" s="599">
        <f t="shared" si="87"/>
        <v>0</v>
      </c>
      <c r="AC229" s="599">
        <f t="shared" si="87"/>
        <v>0</v>
      </c>
      <c r="AE229" s="602">
        <f t="shared" si="90"/>
        <v>0</v>
      </c>
      <c r="AF229" s="602">
        <f t="shared" si="90"/>
        <v>0</v>
      </c>
      <c r="AG229" s="602">
        <f t="shared" si="90"/>
        <v>0</v>
      </c>
      <c r="AH229" s="602">
        <f t="shared" si="88"/>
        <v>0</v>
      </c>
      <c r="AI229" s="602">
        <f t="shared" si="88"/>
        <v>0</v>
      </c>
      <c r="AJ229" s="602">
        <f t="shared" si="88"/>
        <v>0</v>
      </c>
    </row>
    <row r="230" spans="2:36" s="605" customFormat="1">
      <c r="B230" s="604"/>
      <c r="C230" s="604"/>
      <c r="D230" s="604"/>
      <c r="E230" s="604"/>
      <c r="F230" s="604"/>
      <c r="G230" s="604"/>
      <c r="I230" s="604"/>
      <c r="J230" s="604"/>
      <c r="K230" s="604"/>
      <c r="L230" s="604"/>
      <c r="M230" s="604"/>
      <c r="N230" s="604"/>
      <c r="O230" s="606"/>
      <c r="P230" s="605">
        <v>29</v>
      </c>
      <c r="Q230" s="607">
        <v>0</v>
      </c>
      <c r="R230" s="607">
        <v>0</v>
      </c>
      <c r="S230" s="607">
        <v>0</v>
      </c>
      <c r="T230" s="607">
        <v>0</v>
      </c>
      <c r="U230" s="607">
        <v>0</v>
      </c>
      <c r="V230" s="607">
        <v>0</v>
      </c>
      <c r="X230" s="605">
        <f t="shared" si="89"/>
        <v>0</v>
      </c>
      <c r="Y230" s="605">
        <f t="shared" si="89"/>
        <v>0</v>
      </c>
      <c r="Z230" s="605">
        <f t="shared" si="89"/>
        <v>0</v>
      </c>
      <c r="AA230" s="605">
        <f t="shared" si="87"/>
        <v>0</v>
      </c>
      <c r="AB230" s="605">
        <f t="shared" si="87"/>
        <v>0</v>
      </c>
      <c r="AC230" s="605">
        <f t="shared" si="87"/>
        <v>0</v>
      </c>
      <c r="AE230" s="607">
        <f t="shared" si="90"/>
        <v>0</v>
      </c>
      <c r="AF230" s="607">
        <f t="shared" si="90"/>
        <v>0</v>
      </c>
      <c r="AG230" s="607">
        <f t="shared" si="90"/>
        <v>0</v>
      </c>
      <c r="AH230" s="607">
        <f t="shared" si="88"/>
        <v>0</v>
      </c>
      <c r="AI230" s="607">
        <f t="shared" si="88"/>
        <v>0</v>
      </c>
      <c r="AJ230" s="607">
        <f t="shared" si="88"/>
        <v>0</v>
      </c>
    </row>
    <row r="231" spans="2:36">
      <c r="B231" s="597"/>
      <c r="C231" s="597"/>
      <c r="D231" s="597"/>
      <c r="E231" s="597"/>
      <c r="F231" s="597"/>
      <c r="G231" s="597"/>
      <c r="I231" s="597"/>
      <c r="J231" s="597"/>
      <c r="K231" s="597"/>
      <c r="L231" s="597"/>
      <c r="M231" s="597"/>
      <c r="N231" s="597"/>
      <c r="O231" s="598"/>
      <c r="P231" s="90">
        <v>29</v>
      </c>
      <c r="Q231" s="71">
        <v>0</v>
      </c>
      <c r="R231" s="71">
        <v>0</v>
      </c>
      <c r="S231" s="71">
        <v>0</v>
      </c>
      <c r="T231" s="71">
        <v>0</v>
      </c>
      <c r="U231" s="71">
        <v>0</v>
      </c>
      <c r="V231" s="71">
        <v>0</v>
      </c>
      <c r="X231" s="90">
        <f t="shared" si="89"/>
        <v>0</v>
      </c>
      <c r="Y231" s="90">
        <f t="shared" si="89"/>
        <v>0</v>
      </c>
      <c r="Z231" s="90">
        <f t="shared" si="89"/>
        <v>0</v>
      </c>
      <c r="AA231" s="90">
        <f t="shared" si="87"/>
        <v>0</v>
      </c>
      <c r="AB231" s="90">
        <f t="shared" si="87"/>
        <v>0</v>
      </c>
      <c r="AC231" s="90">
        <f t="shared" si="87"/>
        <v>0</v>
      </c>
      <c r="AE231" s="71">
        <f t="shared" si="90"/>
        <v>0</v>
      </c>
      <c r="AF231" s="71">
        <f t="shared" si="90"/>
        <v>0</v>
      </c>
      <c r="AG231" s="71">
        <f t="shared" si="90"/>
        <v>0</v>
      </c>
      <c r="AH231" s="71">
        <f t="shared" si="88"/>
        <v>0</v>
      </c>
      <c r="AI231" s="71">
        <f t="shared" si="88"/>
        <v>0</v>
      </c>
      <c r="AJ231" s="71">
        <f t="shared" si="88"/>
        <v>0</v>
      </c>
    </row>
    <row r="232" spans="2:36">
      <c r="B232" s="597"/>
      <c r="C232" s="597"/>
      <c r="D232" s="597"/>
      <c r="E232" s="597"/>
      <c r="F232" s="597"/>
      <c r="G232" s="597"/>
      <c r="I232" s="597"/>
      <c r="J232" s="597"/>
      <c r="K232" s="597"/>
      <c r="L232" s="597"/>
      <c r="M232" s="597"/>
      <c r="N232" s="597"/>
      <c r="O232" s="598"/>
      <c r="P232" s="90">
        <v>29</v>
      </c>
      <c r="Q232" s="71">
        <v>0</v>
      </c>
      <c r="R232" s="71">
        <v>0</v>
      </c>
      <c r="S232" s="71">
        <v>0</v>
      </c>
      <c r="T232" s="71">
        <v>0</v>
      </c>
      <c r="U232" s="71">
        <v>0</v>
      </c>
      <c r="V232" s="71">
        <v>0</v>
      </c>
      <c r="X232" s="90">
        <f t="shared" si="89"/>
        <v>0</v>
      </c>
      <c r="Y232" s="90">
        <f t="shared" si="89"/>
        <v>0</v>
      </c>
      <c r="Z232" s="90">
        <f t="shared" si="89"/>
        <v>0</v>
      </c>
      <c r="AA232" s="90">
        <f t="shared" si="87"/>
        <v>0</v>
      </c>
      <c r="AB232" s="90">
        <f t="shared" si="87"/>
        <v>0</v>
      </c>
      <c r="AC232" s="90">
        <f t="shared" si="87"/>
        <v>0</v>
      </c>
      <c r="AE232" s="71">
        <f t="shared" si="90"/>
        <v>0</v>
      </c>
      <c r="AF232" s="71">
        <f t="shared" si="90"/>
        <v>0</v>
      </c>
      <c r="AG232" s="71">
        <f t="shared" si="90"/>
        <v>0</v>
      </c>
      <c r="AH232" s="71">
        <f t="shared" si="88"/>
        <v>0</v>
      </c>
      <c r="AI232" s="71">
        <f t="shared" si="88"/>
        <v>0</v>
      </c>
      <c r="AJ232" s="71">
        <f t="shared" si="88"/>
        <v>0</v>
      </c>
    </row>
    <row r="233" spans="2:36">
      <c r="B233" s="597"/>
      <c r="C233" s="597"/>
      <c r="D233" s="597"/>
      <c r="E233" s="597"/>
      <c r="F233" s="597"/>
      <c r="G233" s="597"/>
      <c r="I233" s="597"/>
      <c r="J233" s="597"/>
      <c r="K233" s="597"/>
      <c r="L233" s="597"/>
      <c r="M233" s="597"/>
      <c r="N233" s="597"/>
      <c r="O233" s="598"/>
      <c r="P233" s="90">
        <v>29</v>
      </c>
      <c r="Q233" s="71">
        <v>0</v>
      </c>
      <c r="R233" s="71">
        <v>0</v>
      </c>
      <c r="S233" s="71">
        <v>0</v>
      </c>
      <c r="T233" s="71">
        <v>0</v>
      </c>
      <c r="U233" s="71">
        <v>0</v>
      </c>
      <c r="V233" s="71">
        <v>0</v>
      </c>
      <c r="X233" s="90">
        <f t="shared" si="89"/>
        <v>0</v>
      </c>
      <c r="Y233" s="90">
        <f t="shared" si="89"/>
        <v>0</v>
      </c>
      <c r="Z233" s="90">
        <f t="shared" si="89"/>
        <v>0</v>
      </c>
      <c r="AA233" s="90">
        <f t="shared" si="87"/>
        <v>0</v>
      </c>
      <c r="AB233" s="90">
        <f t="shared" si="87"/>
        <v>0</v>
      </c>
      <c r="AC233" s="90">
        <f t="shared" si="87"/>
        <v>0</v>
      </c>
      <c r="AE233" s="71">
        <f t="shared" si="90"/>
        <v>0</v>
      </c>
      <c r="AF233" s="71">
        <f t="shared" si="90"/>
        <v>0</v>
      </c>
      <c r="AG233" s="71">
        <f t="shared" si="90"/>
        <v>0</v>
      </c>
      <c r="AH233" s="71">
        <f t="shared" si="88"/>
        <v>0</v>
      </c>
      <c r="AI233" s="71">
        <f t="shared" si="88"/>
        <v>0</v>
      </c>
      <c r="AJ233" s="71">
        <f t="shared" si="88"/>
        <v>0</v>
      </c>
    </row>
    <row r="234" spans="2:36">
      <c r="B234" s="597"/>
      <c r="C234" s="597"/>
      <c r="D234" s="597"/>
      <c r="E234" s="597"/>
      <c r="F234" s="597"/>
      <c r="G234" s="597"/>
      <c r="I234" s="597"/>
      <c r="J234" s="597"/>
      <c r="K234" s="597"/>
      <c r="L234" s="597"/>
      <c r="M234" s="597"/>
      <c r="N234" s="597"/>
      <c r="O234" s="598"/>
      <c r="P234" s="90">
        <v>29</v>
      </c>
      <c r="Q234" s="71">
        <v>0</v>
      </c>
      <c r="R234" s="71">
        <v>0</v>
      </c>
      <c r="S234" s="71">
        <v>0</v>
      </c>
      <c r="T234" s="71">
        <v>0</v>
      </c>
      <c r="U234" s="71">
        <v>0</v>
      </c>
      <c r="V234" s="71">
        <v>0</v>
      </c>
      <c r="X234" s="90">
        <f t="shared" si="89"/>
        <v>0</v>
      </c>
      <c r="Y234" s="90">
        <f t="shared" si="89"/>
        <v>0</v>
      </c>
      <c r="Z234" s="90">
        <f t="shared" si="89"/>
        <v>0</v>
      </c>
      <c r="AA234" s="90">
        <f t="shared" si="87"/>
        <v>0</v>
      </c>
      <c r="AB234" s="90">
        <f t="shared" si="87"/>
        <v>0</v>
      </c>
      <c r="AC234" s="90">
        <f t="shared" si="87"/>
        <v>0</v>
      </c>
      <c r="AE234" s="71">
        <f t="shared" si="90"/>
        <v>0</v>
      </c>
      <c r="AF234" s="71">
        <f t="shared" si="90"/>
        <v>0</v>
      </c>
      <c r="AG234" s="71">
        <f t="shared" si="90"/>
        <v>0</v>
      </c>
      <c r="AH234" s="71">
        <f t="shared" si="88"/>
        <v>0</v>
      </c>
      <c r="AI234" s="71">
        <f t="shared" si="88"/>
        <v>0</v>
      </c>
      <c r="AJ234" s="71">
        <f t="shared" si="88"/>
        <v>0</v>
      </c>
    </row>
    <row r="235" spans="2:36">
      <c r="B235" s="597"/>
      <c r="C235" s="597"/>
      <c r="D235" s="597"/>
      <c r="E235" s="597"/>
      <c r="F235" s="597"/>
      <c r="G235" s="597"/>
      <c r="I235" s="597"/>
      <c r="J235" s="597"/>
      <c r="K235" s="597"/>
      <c r="L235" s="597"/>
      <c r="M235" s="597"/>
      <c r="N235" s="597"/>
      <c r="O235" s="598"/>
      <c r="P235" s="90">
        <v>29</v>
      </c>
      <c r="Q235" s="71">
        <v>0</v>
      </c>
      <c r="R235" s="71">
        <v>0</v>
      </c>
      <c r="S235" s="71">
        <v>0</v>
      </c>
      <c r="T235" s="71">
        <v>0</v>
      </c>
      <c r="U235" s="71">
        <v>0</v>
      </c>
      <c r="V235" s="71">
        <v>0</v>
      </c>
      <c r="X235" s="90">
        <f t="shared" si="89"/>
        <v>0</v>
      </c>
      <c r="Y235" s="90">
        <f t="shared" si="89"/>
        <v>0</v>
      </c>
      <c r="Z235" s="90">
        <f t="shared" si="89"/>
        <v>0</v>
      </c>
      <c r="AA235" s="90">
        <f t="shared" si="89"/>
        <v>0</v>
      </c>
      <c r="AB235" s="90">
        <f t="shared" si="89"/>
        <v>0</v>
      </c>
      <c r="AC235" s="90">
        <f t="shared" si="89"/>
        <v>0</v>
      </c>
      <c r="AE235" s="71">
        <f t="shared" si="90"/>
        <v>0</v>
      </c>
      <c r="AF235" s="71">
        <f t="shared" si="90"/>
        <v>0</v>
      </c>
      <c r="AG235" s="71">
        <f t="shared" si="90"/>
        <v>0</v>
      </c>
      <c r="AH235" s="71">
        <f t="shared" si="90"/>
        <v>0</v>
      </c>
      <c r="AI235" s="71">
        <f t="shared" si="90"/>
        <v>0</v>
      </c>
      <c r="AJ235" s="71">
        <f t="shared" si="90"/>
        <v>0</v>
      </c>
    </row>
    <row r="236" spans="2:36">
      <c r="B236" s="597"/>
      <c r="C236" s="597"/>
      <c r="D236" s="597"/>
      <c r="E236" s="597"/>
      <c r="F236" s="597"/>
      <c r="G236" s="597"/>
      <c r="I236" s="597"/>
      <c r="J236" s="597"/>
      <c r="K236" s="597"/>
      <c r="L236" s="597"/>
      <c r="M236" s="597"/>
      <c r="N236" s="597"/>
      <c r="O236" s="598"/>
      <c r="P236" s="90">
        <v>29</v>
      </c>
      <c r="Q236" s="71">
        <v>0</v>
      </c>
      <c r="R236" s="71">
        <v>0</v>
      </c>
      <c r="S236" s="71">
        <v>0</v>
      </c>
      <c r="T236" s="71">
        <v>0</v>
      </c>
      <c r="U236" s="71">
        <v>0</v>
      </c>
      <c r="V236" s="71">
        <v>0</v>
      </c>
      <c r="X236" s="90">
        <f t="shared" ref="X236:AC278" si="91">B236*Q236</f>
        <v>0</v>
      </c>
      <c r="Y236" s="90">
        <f t="shared" si="91"/>
        <v>0</v>
      </c>
      <c r="Z236" s="90">
        <f t="shared" si="91"/>
        <v>0</v>
      </c>
      <c r="AA236" s="90">
        <f t="shared" si="91"/>
        <v>0</v>
      </c>
      <c r="AB236" s="90">
        <f t="shared" si="91"/>
        <v>0</v>
      </c>
      <c r="AC236" s="90">
        <f t="shared" si="91"/>
        <v>0</v>
      </c>
      <c r="AE236" s="71">
        <f t="shared" ref="AE236:AJ278" si="92">I236*Q236</f>
        <v>0</v>
      </c>
      <c r="AF236" s="71">
        <f t="shared" si="92"/>
        <v>0</v>
      </c>
      <c r="AG236" s="71">
        <f t="shared" si="92"/>
        <v>0</v>
      </c>
      <c r="AH236" s="71">
        <f t="shared" si="92"/>
        <v>0</v>
      </c>
      <c r="AI236" s="71">
        <f t="shared" si="92"/>
        <v>0</v>
      </c>
      <c r="AJ236" s="71">
        <f t="shared" si="92"/>
        <v>0</v>
      </c>
    </row>
    <row r="237" spans="2:36" s="599" customFormat="1">
      <c r="B237" s="600"/>
      <c r="C237" s="600"/>
      <c r="D237" s="600"/>
      <c r="E237" s="600"/>
      <c r="F237" s="600"/>
      <c r="G237" s="600"/>
      <c r="I237" s="600"/>
      <c r="J237" s="600"/>
      <c r="K237" s="600"/>
      <c r="L237" s="600"/>
      <c r="M237" s="600"/>
      <c r="N237" s="600"/>
      <c r="O237" s="601"/>
      <c r="P237" s="599">
        <v>29</v>
      </c>
      <c r="Q237" s="602">
        <v>0</v>
      </c>
      <c r="R237" s="602">
        <v>0</v>
      </c>
      <c r="S237" s="602">
        <v>0</v>
      </c>
      <c r="T237" s="602">
        <v>0</v>
      </c>
      <c r="U237" s="602">
        <v>0</v>
      </c>
      <c r="V237" s="602">
        <v>0</v>
      </c>
      <c r="X237" s="599">
        <f t="shared" si="91"/>
        <v>0</v>
      </c>
      <c r="Y237" s="599">
        <f t="shared" si="91"/>
        <v>0</v>
      </c>
      <c r="Z237" s="599">
        <f t="shared" si="91"/>
        <v>0</v>
      </c>
      <c r="AA237" s="599">
        <f t="shared" si="91"/>
        <v>0</v>
      </c>
      <c r="AB237" s="599">
        <f t="shared" si="91"/>
        <v>0</v>
      </c>
      <c r="AC237" s="599">
        <f t="shared" si="91"/>
        <v>0</v>
      </c>
      <c r="AE237" s="602">
        <f t="shared" si="92"/>
        <v>0</v>
      </c>
      <c r="AF237" s="602">
        <f t="shared" si="92"/>
        <v>0</v>
      </c>
      <c r="AG237" s="602">
        <f t="shared" si="92"/>
        <v>0</v>
      </c>
      <c r="AH237" s="602">
        <f t="shared" si="92"/>
        <v>0</v>
      </c>
      <c r="AI237" s="602">
        <f t="shared" si="92"/>
        <v>0</v>
      </c>
      <c r="AJ237" s="602">
        <f t="shared" si="92"/>
        <v>0</v>
      </c>
    </row>
    <row r="238" spans="2:36" s="605" customFormat="1">
      <c r="B238" s="604"/>
      <c r="C238" s="604"/>
      <c r="D238" s="604"/>
      <c r="E238" s="604"/>
      <c r="F238" s="604"/>
      <c r="G238" s="604"/>
      <c r="I238" s="604"/>
      <c r="J238" s="604"/>
      <c r="K238" s="604"/>
      <c r="L238" s="604"/>
      <c r="M238" s="604"/>
      <c r="N238" s="604"/>
      <c r="O238" s="606"/>
      <c r="P238" s="605">
        <v>30</v>
      </c>
      <c r="Q238" s="607">
        <v>0</v>
      </c>
      <c r="R238" s="607">
        <v>1275815</v>
      </c>
      <c r="S238" s="607">
        <v>2329070</v>
      </c>
      <c r="T238" s="607">
        <v>3197968</v>
      </c>
      <c r="U238" s="607">
        <v>4445911</v>
      </c>
      <c r="V238" s="607">
        <v>0</v>
      </c>
      <c r="X238" s="605">
        <f t="shared" si="91"/>
        <v>0</v>
      </c>
      <c r="Y238" s="605">
        <f t="shared" si="91"/>
        <v>0</v>
      </c>
      <c r="Z238" s="605">
        <f t="shared" si="91"/>
        <v>0</v>
      </c>
      <c r="AA238" s="605">
        <f t="shared" si="91"/>
        <v>0</v>
      </c>
      <c r="AB238" s="605">
        <f t="shared" si="91"/>
        <v>0</v>
      </c>
      <c r="AC238" s="605">
        <f t="shared" si="91"/>
        <v>0</v>
      </c>
      <c r="AE238" s="607">
        <f t="shared" si="92"/>
        <v>0</v>
      </c>
      <c r="AF238" s="607">
        <f t="shared" si="92"/>
        <v>0</v>
      </c>
      <c r="AG238" s="607">
        <f t="shared" si="92"/>
        <v>0</v>
      </c>
      <c r="AH238" s="607">
        <f t="shared" si="92"/>
        <v>0</v>
      </c>
      <c r="AI238" s="607">
        <f t="shared" si="92"/>
        <v>0</v>
      </c>
      <c r="AJ238" s="607">
        <f t="shared" si="92"/>
        <v>0</v>
      </c>
    </row>
    <row r="239" spans="2:36">
      <c r="B239" s="597"/>
      <c r="C239" s="597"/>
      <c r="D239" s="597"/>
      <c r="E239" s="597"/>
      <c r="F239" s="597"/>
      <c r="G239" s="597"/>
      <c r="I239" s="597"/>
      <c r="J239" s="597"/>
      <c r="K239" s="597"/>
      <c r="L239" s="597"/>
      <c r="M239" s="597"/>
      <c r="N239" s="597"/>
      <c r="O239" s="598"/>
      <c r="P239" s="90">
        <v>30</v>
      </c>
      <c r="Q239" s="71">
        <v>0</v>
      </c>
      <c r="R239" s="71">
        <v>1275815</v>
      </c>
      <c r="S239" s="71">
        <v>2329070</v>
      </c>
      <c r="T239" s="71">
        <v>3197968</v>
      </c>
      <c r="U239" s="71">
        <v>4445911</v>
      </c>
      <c r="V239" s="71">
        <v>0</v>
      </c>
      <c r="X239" s="90">
        <f t="shared" si="91"/>
        <v>0</v>
      </c>
      <c r="Y239" s="90">
        <f t="shared" si="91"/>
        <v>0</v>
      </c>
      <c r="Z239" s="90">
        <f t="shared" si="91"/>
        <v>0</v>
      </c>
      <c r="AA239" s="90">
        <f t="shared" si="91"/>
        <v>0</v>
      </c>
      <c r="AB239" s="90">
        <f t="shared" si="91"/>
        <v>0</v>
      </c>
      <c r="AC239" s="90">
        <f t="shared" si="91"/>
        <v>0</v>
      </c>
      <c r="AE239" s="71">
        <f t="shared" si="92"/>
        <v>0</v>
      </c>
      <c r="AF239" s="71">
        <f t="shared" si="92"/>
        <v>0</v>
      </c>
      <c r="AG239" s="71">
        <f t="shared" si="92"/>
        <v>0</v>
      </c>
      <c r="AH239" s="71">
        <f t="shared" si="92"/>
        <v>0</v>
      </c>
      <c r="AI239" s="71">
        <f t="shared" si="92"/>
        <v>0</v>
      </c>
      <c r="AJ239" s="71">
        <f t="shared" si="92"/>
        <v>0</v>
      </c>
    </row>
    <row r="240" spans="2:36">
      <c r="B240" s="597"/>
      <c r="C240" s="597"/>
      <c r="D240" s="597"/>
      <c r="E240" s="597"/>
      <c r="F240" s="597"/>
      <c r="G240" s="597"/>
      <c r="I240" s="597"/>
      <c r="J240" s="597"/>
      <c r="K240" s="597"/>
      <c r="L240" s="597"/>
      <c r="M240" s="597"/>
      <c r="N240" s="597"/>
      <c r="O240" s="598"/>
      <c r="P240" s="90">
        <v>30</v>
      </c>
      <c r="Q240" s="71">
        <v>0</v>
      </c>
      <c r="R240" s="71">
        <v>1275815</v>
      </c>
      <c r="S240" s="71">
        <v>2329070</v>
      </c>
      <c r="T240" s="71">
        <v>3197968</v>
      </c>
      <c r="U240" s="71">
        <v>4445911</v>
      </c>
      <c r="V240" s="71">
        <v>0</v>
      </c>
      <c r="X240" s="90">
        <f t="shared" si="91"/>
        <v>0</v>
      </c>
      <c r="Y240" s="90">
        <f t="shared" si="91"/>
        <v>0</v>
      </c>
      <c r="Z240" s="90">
        <f t="shared" si="91"/>
        <v>0</v>
      </c>
      <c r="AA240" s="90">
        <f t="shared" si="91"/>
        <v>0</v>
      </c>
      <c r="AB240" s="90">
        <f t="shared" si="91"/>
        <v>0</v>
      </c>
      <c r="AC240" s="90">
        <f t="shared" si="91"/>
        <v>0</v>
      </c>
      <c r="AE240" s="71">
        <f t="shared" si="92"/>
        <v>0</v>
      </c>
      <c r="AF240" s="71">
        <f t="shared" si="92"/>
        <v>0</v>
      </c>
      <c r="AG240" s="71">
        <f t="shared" si="92"/>
        <v>0</v>
      </c>
      <c r="AH240" s="71">
        <f t="shared" si="92"/>
        <v>0</v>
      </c>
      <c r="AI240" s="71">
        <f t="shared" si="92"/>
        <v>0</v>
      </c>
      <c r="AJ240" s="71">
        <f t="shared" si="92"/>
        <v>0</v>
      </c>
    </row>
    <row r="241" spans="2:36">
      <c r="B241" s="597"/>
      <c r="C241" s="597"/>
      <c r="D241" s="597"/>
      <c r="E241" s="597"/>
      <c r="F241" s="597"/>
      <c r="G241" s="597"/>
      <c r="I241" s="597"/>
      <c r="J241" s="597"/>
      <c r="K241" s="597"/>
      <c r="L241" s="597"/>
      <c r="M241" s="597"/>
      <c r="N241" s="597"/>
      <c r="O241" s="598"/>
      <c r="P241" s="90">
        <v>30</v>
      </c>
      <c r="Q241" s="71">
        <v>0</v>
      </c>
      <c r="R241" s="71">
        <v>1275815</v>
      </c>
      <c r="S241" s="71">
        <v>2329070</v>
      </c>
      <c r="T241" s="71">
        <v>3197968</v>
      </c>
      <c r="U241" s="71">
        <v>4445911</v>
      </c>
      <c r="V241" s="71">
        <v>0</v>
      </c>
      <c r="X241" s="90">
        <f t="shared" si="91"/>
        <v>0</v>
      </c>
      <c r="Y241" s="90">
        <f t="shared" si="91"/>
        <v>0</v>
      </c>
      <c r="Z241" s="90">
        <f t="shared" si="91"/>
        <v>0</v>
      </c>
      <c r="AA241" s="90">
        <f t="shared" si="91"/>
        <v>0</v>
      </c>
      <c r="AB241" s="90">
        <f t="shared" si="91"/>
        <v>0</v>
      </c>
      <c r="AC241" s="90">
        <f t="shared" si="91"/>
        <v>0</v>
      </c>
      <c r="AE241" s="71">
        <f t="shared" si="92"/>
        <v>0</v>
      </c>
      <c r="AF241" s="71">
        <f t="shared" si="92"/>
        <v>0</v>
      </c>
      <c r="AG241" s="71">
        <f t="shared" si="92"/>
        <v>0</v>
      </c>
      <c r="AH241" s="71">
        <f t="shared" si="92"/>
        <v>0</v>
      </c>
      <c r="AI241" s="71">
        <f t="shared" si="92"/>
        <v>0</v>
      </c>
      <c r="AJ241" s="71">
        <f t="shared" si="92"/>
        <v>0</v>
      </c>
    </row>
    <row r="242" spans="2:36">
      <c r="B242" s="597"/>
      <c r="C242" s="597"/>
      <c r="D242" s="597"/>
      <c r="E242" s="597"/>
      <c r="F242" s="597"/>
      <c r="G242" s="597"/>
      <c r="I242" s="597"/>
      <c r="J242" s="597"/>
      <c r="K242" s="597"/>
      <c r="L242" s="597"/>
      <c r="M242" s="597"/>
      <c r="N242" s="597"/>
      <c r="O242" s="598"/>
      <c r="P242" s="90">
        <v>30</v>
      </c>
      <c r="Q242" s="71">
        <v>0</v>
      </c>
      <c r="R242" s="71">
        <v>1275815</v>
      </c>
      <c r="S242" s="71">
        <v>2329070</v>
      </c>
      <c r="T242" s="71">
        <v>3197968</v>
      </c>
      <c r="U242" s="71">
        <v>4445911</v>
      </c>
      <c r="V242" s="71">
        <v>0</v>
      </c>
      <c r="X242" s="90">
        <f t="shared" si="91"/>
        <v>0</v>
      </c>
      <c r="Y242" s="90">
        <f t="shared" si="91"/>
        <v>0</v>
      </c>
      <c r="Z242" s="90">
        <f t="shared" si="91"/>
        <v>0</v>
      </c>
      <c r="AA242" s="90">
        <f t="shared" si="91"/>
        <v>0</v>
      </c>
      <c r="AB242" s="90">
        <f t="shared" si="91"/>
        <v>0</v>
      </c>
      <c r="AC242" s="90">
        <f t="shared" si="91"/>
        <v>0</v>
      </c>
      <c r="AE242" s="71">
        <f t="shared" si="92"/>
        <v>0</v>
      </c>
      <c r="AF242" s="71">
        <f t="shared" si="92"/>
        <v>0</v>
      </c>
      <c r="AG242" s="71">
        <f t="shared" si="92"/>
        <v>0</v>
      </c>
      <c r="AH242" s="71">
        <f t="shared" si="92"/>
        <v>0</v>
      </c>
      <c r="AI242" s="71">
        <f t="shared" si="92"/>
        <v>0</v>
      </c>
      <c r="AJ242" s="71">
        <f t="shared" si="92"/>
        <v>0</v>
      </c>
    </row>
    <row r="243" spans="2:36">
      <c r="B243" s="597"/>
      <c r="C243" s="597"/>
      <c r="D243" s="597"/>
      <c r="E243" s="597"/>
      <c r="F243" s="597"/>
      <c r="G243" s="597"/>
      <c r="I243" s="597"/>
      <c r="J243" s="597"/>
      <c r="K243" s="597"/>
      <c r="L243" s="597"/>
      <c r="M243" s="597"/>
      <c r="N243" s="597"/>
      <c r="O243" s="598"/>
      <c r="P243" s="90">
        <v>30</v>
      </c>
      <c r="Q243" s="71">
        <v>0</v>
      </c>
      <c r="R243" s="71">
        <v>1275815</v>
      </c>
      <c r="S243" s="71">
        <v>2329070</v>
      </c>
      <c r="T243" s="71">
        <v>3197968</v>
      </c>
      <c r="U243" s="71">
        <v>4445911</v>
      </c>
      <c r="V243" s="71">
        <v>0</v>
      </c>
      <c r="X243" s="90">
        <f t="shared" si="91"/>
        <v>0</v>
      </c>
      <c r="Y243" s="90">
        <f t="shared" si="91"/>
        <v>0</v>
      </c>
      <c r="Z243" s="90">
        <f t="shared" si="91"/>
        <v>0</v>
      </c>
      <c r="AA243" s="90">
        <f t="shared" si="91"/>
        <v>0</v>
      </c>
      <c r="AB243" s="90">
        <f t="shared" si="91"/>
        <v>0</v>
      </c>
      <c r="AC243" s="90">
        <f t="shared" si="91"/>
        <v>0</v>
      </c>
      <c r="AE243" s="71">
        <f t="shared" si="92"/>
        <v>0</v>
      </c>
      <c r="AF243" s="71">
        <f t="shared" si="92"/>
        <v>0</v>
      </c>
      <c r="AG243" s="71">
        <f t="shared" si="92"/>
        <v>0</v>
      </c>
      <c r="AH243" s="71">
        <f t="shared" si="92"/>
        <v>0</v>
      </c>
      <c r="AI243" s="71">
        <f t="shared" si="92"/>
        <v>0</v>
      </c>
      <c r="AJ243" s="71">
        <f t="shared" si="92"/>
        <v>0</v>
      </c>
    </row>
    <row r="244" spans="2:36">
      <c r="B244" s="597"/>
      <c r="C244" s="597"/>
      <c r="D244" s="597"/>
      <c r="E244" s="597"/>
      <c r="F244" s="597"/>
      <c r="G244" s="597"/>
      <c r="I244" s="597"/>
      <c r="J244" s="597"/>
      <c r="K244" s="597"/>
      <c r="L244" s="597"/>
      <c r="M244" s="597"/>
      <c r="N244" s="597"/>
      <c r="O244" s="598"/>
      <c r="P244" s="90">
        <v>30</v>
      </c>
      <c r="Q244" s="71">
        <v>0</v>
      </c>
      <c r="R244" s="71">
        <v>1275815</v>
      </c>
      <c r="S244" s="71">
        <v>2329070</v>
      </c>
      <c r="T244" s="71">
        <v>3197968</v>
      </c>
      <c r="U244" s="71">
        <v>4445911</v>
      </c>
      <c r="V244" s="71">
        <v>0</v>
      </c>
      <c r="X244" s="90">
        <f t="shared" si="91"/>
        <v>0</v>
      </c>
      <c r="Y244" s="90">
        <f t="shared" si="91"/>
        <v>0</v>
      </c>
      <c r="Z244" s="90">
        <f t="shared" si="91"/>
        <v>0</v>
      </c>
      <c r="AA244" s="90">
        <f t="shared" si="91"/>
        <v>0</v>
      </c>
      <c r="AB244" s="90">
        <f t="shared" si="91"/>
        <v>0</v>
      </c>
      <c r="AC244" s="90">
        <f t="shared" si="91"/>
        <v>0</v>
      </c>
      <c r="AE244" s="71">
        <f t="shared" si="92"/>
        <v>0</v>
      </c>
      <c r="AF244" s="71">
        <f t="shared" si="92"/>
        <v>0</v>
      </c>
      <c r="AG244" s="71">
        <f t="shared" si="92"/>
        <v>0</v>
      </c>
      <c r="AH244" s="71">
        <f t="shared" si="92"/>
        <v>0</v>
      </c>
      <c r="AI244" s="71">
        <f t="shared" si="92"/>
        <v>0</v>
      </c>
      <c r="AJ244" s="71">
        <f t="shared" si="92"/>
        <v>0</v>
      </c>
    </row>
    <row r="245" spans="2:36" s="599" customFormat="1">
      <c r="B245" s="600"/>
      <c r="C245" s="600"/>
      <c r="D245" s="600"/>
      <c r="E245" s="600"/>
      <c r="F245" s="600"/>
      <c r="G245" s="600"/>
      <c r="I245" s="600"/>
      <c r="J245" s="600"/>
      <c r="K245" s="600"/>
      <c r="L245" s="600"/>
      <c r="M245" s="600"/>
      <c r="N245" s="600"/>
      <c r="O245" s="601"/>
      <c r="P245" s="599">
        <v>30</v>
      </c>
      <c r="Q245" s="602">
        <v>0</v>
      </c>
      <c r="R245" s="602">
        <v>1275815</v>
      </c>
      <c r="S245" s="602">
        <v>2329070</v>
      </c>
      <c r="T245" s="602">
        <v>3197968</v>
      </c>
      <c r="U245" s="602">
        <v>4445911</v>
      </c>
      <c r="V245" s="602">
        <v>0</v>
      </c>
      <c r="X245" s="599">
        <f t="shared" si="91"/>
        <v>0</v>
      </c>
      <c r="Y245" s="599">
        <f t="shared" si="91"/>
        <v>0</v>
      </c>
      <c r="Z245" s="599">
        <f t="shared" si="91"/>
        <v>0</v>
      </c>
      <c r="AA245" s="599">
        <f t="shared" si="91"/>
        <v>0</v>
      </c>
      <c r="AB245" s="599">
        <f t="shared" si="91"/>
        <v>0</v>
      </c>
      <c r="AC245" s="599">
        <f t="shared" si="91"/>
        <v>0</v>
      </c>
      <c r="AE245" s="602">
        <f t="shared" si="92"/>
        <v>0</v>
      </c>
      <c r="AF245" s="602">
        <f t="shared" si="92"/>
        <v>0</v>
      </c>
      <c r="AG245" s="602">
        <f t="shared" si="92"/>
        <v>0</v>
      </c>
      <c r="AH245" s="602">
        <f t="shared" si="92"/>
        <v>0</v>
      </c>
      <c r="AI245" s="602">
        <f t="shared" si="92"/>
        <v>0</v>
      </c>
      <c r="AJ245" s="602">
        <f t="shared" si="92"/>
        <v>0</v>
      </c>
    </row>
    <row r="246" spans="2:36" s="605" customFormat="1">
      <c r="B246" s="604"/>
      <c r="C246" s="604"/>
      <c r="D246" s="604"/>
      <c r="E246" s="604"/>
      <c r="F246" s="604"/>
      <c r="G246" s="604"/>
      <c r="I246" s="604"/>
      <c r="J246" s="604"/>
      <c r="K246" s="604"/>
      <c r="L246" s="604"/>
      <c r="M246" s="604"/>
      <c r="N246" s="604"/>
      <c r="O246" s="606"/>
      <c r="P246" s="605">
        <v>31</v>
      </c>
      <c r="Q246" s="607">
        <v>0</v>
      </c>
      <c r="R246" s="607">
        <v>2009</v>
      </c>
      <c r="S246" s="607">
        <v>2511</v>
      </c>
      <c r="T246" s="607">
        <v>2679</v>
      </c>
      <c r="U246" s="607">
        <v>3348</v>
      </c>
      <c r="V246" s="607">
        <v>0</v>
      </c>
      <c r="X246" s="605">
        <f t="shared" si="91"/>
        <v>0</v>
      </c>
      <c r="Y246" s="605">
        <f t="shared" si="91"/>
        <v>0</v>
      </c>
      <c r="Z246" s="605">
        <f t="shared" si="91"/>
        <v>0</v>
      </c>
      <c r="AA246" s="605">
        <f t="shared" si="91"/>
        <v>0</v>
      </c>
      <c r="AB246" s="605">
        <f t="shared" si="91"/>
        <v>0</v>
      </c>
      <c r="AC246" s="605">
        <f t="shared" si="91"/>
        <v>0</v>
      </c>
      <c r="AE246" s="607">
        <f t="shared" si="92"/>
        <v>0</v>
      </c>
      <c r="AF246" s="607">
        <f t="shared" si="92"/>
        <v>0</v>
      </c>
      <c r="AG246" s="607">
        <f t="shared" si="92"/>
        <v>0</v>
      </c>
      <c r="AH246" s="607">
        <f t="shared" si="92"/>
        <v>0</v>
      </c>
      <c r="AI246" s="607">
        <f t="shared" si="92"/>
        <v>0</v>
      </c>
      <c r="AJ246" s="607">
        <f t="shared" si="92"/>
        <v>0</v>
      </c>
    </row>
    <row r="247" spans="2:36">
      <c r="B247" s="597"/>
      <c r="C247" s="597"/>
      <c r="D247" s="597"/>
      <c r="E247" s="597"/>
      <c r="F247" s="597"/>
      <c r="G247" s="597"/>
      <c r="I247" s="597"/>
      <c r="J247" s="597"/>
      <c r="K247" s="597"/>
      <c r="L247" s="597"/>
      <c r="M247" s="597"/>
      <c r="N247" s="597"/>
      <c r="O247" s="598"/>
      <c r="P247" s="90">
        <v>31</v>
      </c>
      <c r="Q247" s="71">
        <v>0</v>
      </c>
      <c r="R247" s="71">
        <v>2009</v>
      </c>
      <c r="S247" s="71">
        <v>2511</v>
      </c>
      <c r="T247" s="71">
        <v>2679</v>
      </c>
      <c r="U247" s="71">
        <v>3348</v>
      </c>
      <c r="V247" s="71">
        <v>0</v>
      </c>
      <c r="X247" s="90">
        <f t="shared" si="91"/>
        <v>0</v>
      </c>
      <c r="Y247" s="90">
        <f t="shared" si="91"/>
        <v>0</v>
      </c>
      <c r="Z247" s="90">
        <f t="shared" si="91"/>
        <v>0</v>
      </c>
      <c r="AA247" s="90">
        <f t="shared" si="91"/>
        <v>0</v>
      </c>
      <c r="AB247" s="90">
        <f t="shared" si="91"/>
        <v>0</v>
      </c>
      <c r="AC247" s="90">
        <f t="shared" si="91"/>
        <v>0</v>
      </c>
      <c r="AE247" s="71">
        <f t="shared" si="92"/>
        <v>0</v>
      </c>
      <c r="AF247" s="71">
        <f t="shared" si="92"/>
        <v>0</v>
      </c>
      <c r="AG247" s="71">
        <f t="shared" si="92"/>
        <v>0</v>
      </c>
      <c r="AH247" s="71">
        <f t="shared" si="92"/>
        <v>0</v>
      </c>
      <c r="AI247" s="71">
        <f t="shared" si="92"/>
        <v>0</v>
      </c>
      <c r="AJ247" s="71">
        <f t="shared" si="92"/>
        <v>0</v>
      </c>
    </row>
    <row r="248" spans="2:36">
      <c r="B248" s="597"/>
      <c r="C248" s="597"/>
      <c r="D248" s="597"/>
      <c r="E248" s="597"/>
      <c r="F248" s="597"/>
      <c r="G248" s="597"/>
      <c r="I248" s="597"/>
      <c r="J248" s="597"/>
      <c r="K248" s="597"/>
      <c r="L248" s="597"/>
      <c r="M248" s="597"/>
      <c r="N248" s="597"/>
      <c r="O248" s="598"/>
      <c r="P248" s="90">
        <v>31</v>
      </c>
      <c r="Q248" s="71">
        <v>0</v>
      </c>
      <c r="R248" s="71">
        <v>2009</v>
      </c>
      <c r="S248" s="71">
        <v>2511</v>
      </c>
      <c r="T248" s="71">
        <v>2679</v>
      </c>
      <c r="U248" s="71">
        <v>3348</v>
      </c>
      <c r="V248" s="71">
        <v>0</v>
      </c>
      <c r="X248" s="90">
        <f t="shared" si="91"/>
        <v>0</v>
      </c>
      <c r="Y248" s="90">
        <f t="shared" si="91"/>
        <v>0</v>
      </c>
      <c r="Z248" s="90">
        <f t="shared" si="91"/>
        <v>0</v>
      </c>
      <c r="AA248" s="90">
        <f t="shared" si="91"/>
        <v>0</v>
      </c>
      <c r="AB248" s="90">
        <f t="shared" si="91"/>
        <v>0</v>
      </c>
      <c r="AC248" s="90">
        <f t="shared" si="91"/>
        <v>0</v>
      </c>
      <c r="AE248" s="71">
        <f t="shared" si="92"/>
        <v>0</v>
      </c>
      <c r="AF248" s="71">
        <f t="shared" si="92"/>
        <v>0</v>
      </c>
      <c r="AG248" s="71">
        <f t="shared" si="92"/>
        <v>0</v>
      </c>
      <c r="AH248" s="71">
        <f t="shared" si="92"/>
        <v>0</v>
      </c>
      <c r="AI248" s="71">
        <f t="shared" si="92"/>
        <v>0</v>
      </c>
      <c r="AJ248" s="71">
        <f t="shared" si="92"/>
        <v>0</v>
      </c>
    </row>
    <row r="249" spans="2:36">
      <c r="B249" s="597"/>
      <c r="C249" s="597"/>
      <c r="D249" s="597"/>
      <c r="E249" s="597"/>
      <c r="F249" s="597"/>
      <c r="G249" s="597"/>
      <c r="I249" s="597"/>
      <c r="J249" s="597"/>
      <c r="K249" s="597"/>
      <c r="L249" s="597"/>
      <c r="M249" s="597"/>
      <c r="N249" s="597"/>
      <c r="O249" s="598"/>
      <c r="P249" s="90">
        <v>31</v>
      </c>
      <c r="Q249" s="71">
        <v>0</v>
      </c>
      <c r="R249" s="71">
        <v>2009</v>
      </c>
      <c r="S249" s="71">
        <v>2511</v>
      </c>
      <c r="T249" s="71">
        <v>2679</v>
      </c>
      <c r="U249" s="71">
        <v>3348</v>
      </c>
      <c r="V249" s="71">
        <v>0</v>
      </c>
      <c r="X249" s="90">
        <f t="shared" si="91"/>
        <v>0</v>
      </c>
      <c r="Y249" s="90">
        <f t="shared" si="91"/>
        <v>0</v>
      </c>
      <c r="Z249" s="90">
        <f t="shared" si="91"/>
        <v>0</v>
      </c>
      <c r="AA249" s="90">
        <f t="shared" si="91"/>
        <v>0</v>
      </c>
      <c r="AB249" s="90">
        <f t="shared" si="91"/>
        <v>0</v>
      </c>
      <c r="AC249" s="90">
        <f t="shared" si="91"/>
        <v>0</v>
      </c>
      <c r="AE249" s="71">
        <f t="shared" si="92"/>
        <v>0</v>
      </c>
      <c r="AF249" s="71">
        <f t="shared" si="92"/>
        <v>0</v>
      </c>
      <c r="AG249" s="71">
        <f t="shared" si="92"/>
        <v>0</v>
      </c>
      <c r="AH249" s="71">
        <f t="shared" si="92"/>
        <v>0</v>
      </c>
      <c r="AI249" s="71">
        <f t="shared" si="92"/>
        <v>0</v>
      </c>
      <c r="AJ249" s="71">
        <f t="shared" si="92"/>
        <v>0</v>
      </c>
    </row>
    <row r="250" spans="2:36">
      <c r="B250" s="597"/>
      <c r="C250" s="597"/>
      <c r="D250" s="597"/>
      <c r="E250" s="597"/>
      <c r="F250" s="597"/>
      <c r="G250" s="597"/>
      <c r="I250" s="597"/>
      <c r="J250" s="597"/>
      <c r="K250" s="597"/>
      <c r="L250" s="597"/>
      <c r="M250" s="597"/>
      <c r="N250" s="597"/>
      <c r="O250" s="598"/>
      <c r="P250" s="90">
        <v>31</v>
      </c>
      <c r="Q250" s="71">
        <v>0</v>
      </c>
      <c r="R250" s="71">
        <v>2009</v>
      </c>
      <c r="S250" s="71">
        <v>2511</v>
      </c>
      <c r="T250" s="71">
        <v>2679</v>
      </c>
      <c r="U250" s="71">
        <v>3348</v>
      </c>
      <c r="V250" s="71">
        <v>0</v>
      </c>
      <c r="X250" s="90">
        <f t="shared" si="91"/>
        <v>0</v>
      </c>
      <c r="Y250" s="90">
        <f t="shared" si="91"/>
        <v>0</v>
      </c>
      <c r="Z250" s="90">
        <f t="shared" si="91"/>
        <v>0</v>
      </c>
      <c r="AA250" s="90">
        <f t="shared" si="91"/>
        <v>0</v>
      </c>
      <c r="AB250" s="90">
        <f t="shared" si="91"/>
        <v>0</v>
      </c>
      <c r="AC250" s="90">
        <f t="shared" si="91"/>
        <v>0</v>
      </c>
      <c r="AE250" s="71">
        <f t="shared" si="92"/>
        <v>0</v>
      </c>
      <c r="AF250" s="71">
        <f t="shared" si="92"/>
        <v>0</v>
      </c>
      <c r="AG250" s="71">
        <f t="shared" si="92"/>
        <v>0</v>
      </c>
      <c r="AH250" s="71">
        <f t="shared" si="92"/>
        <v>0</v>
      </c>
      <c r="AI250" s="71">
        <f t="shared" si="92"/>
        <v>0</v>
      </c>
      <c r="AJ250" s="71">
        <f t="shared" si="92"/>
        <v>0</v>
      </c>
    </row>
    <row r="251" spans="2:36">
      <c r="B251" s="597"/>
      <c r="C251" s="597"/>
      <c r="D251" s="597"/>
      <c r="E251" s="597"/>
      <c r="F251" s="597"/>
      <c r="G251" s="597"/>
      <c r="I251" s="597"/>
      <c r="J251" s="597"/>
      <c r="K251" s="597"/>
      <c r="L251" s="597"/>
      <c r="M251" s="597"/>
      <c r="N251" s="597"/>
      <c r="O251" s="598"/>
      <c r="P251" s="90">
        <v>31</v>
      </c>
      <c r="Q251" s="71">
        <v>0</v>
      </c>
      <c r="R251" s="71">
        <v>2009</v>
      </c>
      <c r="S251" s="71">
        <v>2511</v>
      </c>
      <c r="T251" s="71">
        <v>2679</v>
      </c>
      <c r="U251" s="71">
        <v>3348</v>
      </c>
      <c r="V251" s="71">
        <v>0</v>
      </c>
      <c r="X251" s="90">
        <f t="shared" si="91"/>
        <v>0</v>
      </c>
      <c r="Y251" s="90">
        <f t="shared" si="91"/>
        <v>0</v>
      </c>
      <c r="Z251" s="90">
        <f t="shared" si="91"/>
        <v>0</v>
      </c>
      <c r="AA251" s="90">
        <f t="shared" si="91"/>
        <v>0</v>
      </c>
      <c r="AB251" s="90">
        <f t="shared" si="91"/>
        <v>0</v>
      </c>
      <c r="AC251" s="90">
        <f t="shared" si="91"/>
        <v>0</v>
      </c>
      <c r="AE251" s="71">
        <f t="shared" si="92"/>
        <v>0</v>
      </c>
      <c r="AF251" s="71">
        <f t="shared" si="92"/>
        <v>0</v>
      </c>
      <c r="AG251" s="71">
        <f t="shared" si="92"/>
        <v>0</v>
      </c>
      <c r="AH251" s="71">
        <f t="shared" si="92"/>
        <v>0</v>
      </c>
      <c r="AI251" s="71">
        <f t="shared" si="92"/>
        <v>0</v>
      </c>
      <c r="AJ251" s="71">
        <f t="shared" si="92"/>
        <v>0</v>
      </c>
    </row>
    <row r="252" spans="2:36">
      <c r="B252" s="597"/>
      <c r="C252" s="597"/>
      <c r="D252" s="597"/>
      <c r="E252" s="597"/>
      <c r="F252" s="597"/>
      <c r="G252" s="597"/>
      <c r="I252" s="597"/>
      <c r="J252" s="597"/>
      <c r="K252" s="597"/>
      <c r="L252" s="597"/>
      <c r="M252" s="597"/>
      <c r="N252" s="597"/>
      <c r="O252" s="598"/>
      <c r="P252" s="90">
        <v>31</v>
      </c>
      <c r="Q252" s="71">
        <v>0</v>
      </c>
      <c r="R252" s="71">
        <v>2009</v>
      </c>
      <c r="S252" s="71">
        <v>2511</v>
      </c>
      <c r="T252" s="71">
        <v>2679</v>
      </c>
      <c r="U252" s="71">
        <v>3348</v>
      </c>
      <c r="V252" s="71">
        <v>0</v>
      </c>
      <c r="X252" s="90">
        <f t="shared" si="91"/>
        <v>0</v>
      </c>
      <c r="Y252" s="90">
        <f t="shared" si="91"/>
        <v>0</v>
      </c>
      <c r="Z252" s="90">
        <f t="shared" si="91"/>
        <v>0</v>
      </c>
      <c r="AA252" s="90">
        <f t="shared" si="91"/>
        <v>0</v>
      </c>
      <c r="AB252" s="90">
        <f t="shared" si="91"/>
        <v>0</v>
      </c>
      <c r="AC252" s="90">
        <f t="shared" si="91"/>
        <v>0</v>
      </c>
      <c r="AE252" s="71">
        <f t="shared" si="92"/>
        <v>0</v>
      </c>
      <c r="AF252" s="71">
        <f t="shared" si="92"/>
        <v>0</v>
      </c>
      <c r="AG252" s="71">
        <f t="shared" si="92"/>
        <v>0</v>
      </c>
      <c r="AH252" s="71">
        <f t="shared" si="92"/>
        <v>0</v>
      </c>
      <c r="AI252" s="71">
        <f t="shared" si="92"/>
        <v>0</v>
      </c>
      <c r="AJ252" s="71">
        <f t="shared" si="92"/>
        <v>0</v>
      </c>
    </row>
    <row r="253" spans="2:36" s="599" customFormat="1">
      <c r="B253" s="600"/>
      <c r="C253" s="600"/>
      <c r="D253" s="600"/>
      <c r="E253" s="600"/>
      <c r="F253" s="600"/>
      <c r="G253" s="600"/>
      <c r="I253" s="600"/>
      <c r="J253" s="600"/>
      <c r="K253" s="600"/>
      <c r="L253" s="600"/>
      <c r="M253" s="600"/>
      <c r="N253" s="600"/>
      <c r="O253" s="601"/>
      <c r="P253" s="599">
        <v>31</v>
      </c>
      <c r="Q253" s="602">
        <v>0</v>
      </c>
      <c r="R253" s="602">
        <v>2009</v>
      </c>
      <c r="S253" s="602">
        <v>2511</v>
      </c>
      <c r="T253" s="602">
        <v>2679</v>
      </c>
      <c r="U253" s="602">
        <v>3348</v>
      </c>
      <c r="V253" s="602">
        <v>0</v>
      </c>
      <c r="X253" s="599">
        <f t="shared" si="91"/>
        <v>0</v>
      </c>
      <c r="Y253" s="599">
        <f t="shared" si="91"/>
        <v>0</v>
      </c>
      <c r="Z253" s="599">
        <f t="shared" si="91"/>
        <v>0</v>
      </c>
      <c r="AA253" s="599">
        <f t="shared" si="91"/>
        <v>0</v>
      </c>
      <c r="AB253" s="599">
        <f t="shared" si="91"/>
        <v>0</v>
      </c>
      <c r="AC253" s="599">
        <f t="shared" si="91"/>
        <v>0</v>
      </c>
      <c r="AE253" s="602">
        <f t="shared" si="92"/>
        <v>0</v>
      </c>
      <c r="AF253" s="602">
        <f t="shared" si="92"/>
        <v>0</v>
      </c>
      <c r="AG253" s="602">
        <f t="shared" si="92"/>
        <v>0</v>
      </c>
      <c r="AH253" s="602">
        <f t="shared" si="92"/>
        <v>0</v>
      </c>
      <c r="AI253" s="602">
        <f t="shared" si="92"/>
        <v>0</v>
      </c>
      <c r="AJ253" s="602">
        <f t="shared" si="92"/>
        <v>0</v>
      </c>
    </row>
    <row r="254" spans="2:36" s="605" customFormat="1">
      <c r="B254" s="604"/>
      <c r="C254" s="604"/>
      <c r="D254" s="604"/>
      <c r="E254" s="604"/>
      <c r="F254" s="604"/>
      <c r="G254" s="604"/>
      <c r="I254" s="604"/>
      <c r="J254" s="604"/>
      <c r="K254" s="604"/>
      <c r="L254" s="604"/>
      <c r="M254" s="604"/>
      <c r="N254" s="604"/>
      <c r="O254" s="606"/>
      <c r="P254" s="605">
        <v>32</v>
      </c>
      <c r="Q254" s="607">
        <v>0</v>
      </c>
      <c r="R254" s="607">
        <v>927866</v>
      </c>
      <c r="S254" s="607">
        <v>1719929</v>
      </c>
      <c r="T254" s="607">
        <v>2951971</v>
      </c>
      <c r="U254" s="607">
        <v>5471891</v>
      </c>
      <c r="V254" s="607">
        <v>0</v>
      </c>
      <c r="X254" s="605">
        <f t="shared" si="91"/>
        <v>0</v>
      </c>
      <c r="Y254" s="605">
        <f t="shared" si="91"/>
        <v>0</v>
      </c>
      <c r="Z254" s="605">
        <f t="shared" si="91"/>
        <v>0</v>
      </c>
      <c r="AA254" s="605">
        <f t="shared" si="91"/>
        <v>0</v>
      </c>
      <c r="AB254" s="605">
        <f t="shared" si="91"/>
        <v>0</v>
      </c>
      <c r="AC254" s="605">
        <f t="shared" si="91"/>
        <v>0</v>
      </c>
      <c r="AE254" s="607">
        <f t="shared" si="92"/>
        <v>0</v>
      </c>
      <c r="AF254" s="607">
        <f t="shared" si="92"/>
        <v>0</v>
      </c>
      <c r="AG254" s="607">
        <f t="shared" si="92"/>
        <v>0</v>
      </c>
      <c r="AH254" s="607">
        <f t="shared" si="92"/>
        <v>0</v>
      </c>
      <c r="AI254" s="607">
        <f t="shared" si="92"/>
        <v>0</v>
      </c>
      <c r="AJ254" s="607">
        <f t="shared" si="92"/>
        <v>0</v>
      </c>
    </row>
    <row r="255" spans="2:36">
      <c r="B255" s="597"/>
      <c r="C255" s="597"/>
      <c r="D255" s="597"/>
      <c r="E255" s="597"/>
      <c r="F255" s="597"/>
      <c r="G255" s="597"/>
      <c r="I255" s="597"/>
      <c r="J255" s="597"/>
      <c r="K255" s="597"/>
      <c r="L255" s="597"/>
      <c r="M255" s="597"/>
      <c r="N255" s="597"/>
      <c r="O255" s="598"/>
      <c r="P255" s="90">
        <v>32</v>
      </c>
      <c r="Q255" s="71">
        <v>0</v>
      </c>
      <c r="R255" s="71">
        <v>927866</v>
      </c>
      <c r="S255" s="71">
        <v>1719929</v>
      </c>
      <c r="T255" s="71">
        <v>2951971</v>
      </c>
      <c r="U255" s="71">
        <v>5471891</v>
      </c>
      <c r="V255" s="71">
        <v>0</v>
      </c>
      <c r="X255" s="90">
        <f t="shared" si="91"/>
        <v>0</v>
      </c>
      <c r="Y255" s="90">
        <f t="shared" si="91"/>
        <v>0</v>
      </c>
      <c r="Z255" s="90">
        <f t="shared" si="91"/>
        <v>0</v>
      </c>
      <c r="AA255" s="90">
        <f t="shared" si="91"/>
        <v>0</v>
      </c>
      <c r="AB255" s="90">
        <f t="shared" si="91"/>
        <v>0</v>
      </c>
      <c r="AC255" s="90">
        <f t="shared" si="91"/>
        <v>0</v>
      </c>
      <c r="AE255" s="71">
        <f t="shared" si="92"/>
        <v>0</v>
      </c>
      <c r="AF255" s="71">
        <f t="shared" si="92"/>
        <v>0</v>
      </c>
      <c r="AG255" s="71">
        <f t="shared" si="92"/>
        <v>0</v>
      </c>
      <c r="AH255" s="71">
        <f t="shared" si="92"/>
        <v>0</v>
      </c>
      <c r="AI255" s="71">
        <f t="shared" si="92"/>
        <v>0</v>
      </c>
      <c r="AJ255" s="71">
        <f t="shared" si="92"/>
        <v>0</v>
      </c>
    </row>
    <row r="256" spans="2:36">
      <c r="B256" s="597"/>
      <c r="C256" s="597"/>
      <c r="D256" s="597"/>
      <c r="E256" s="597"/>
      <c r="F256" s="597"/>
      <c r="G256" s="597"/>
      <c r="I256" s="597"/>
      <c r="J256" s="597"/>
      <c r="K256" s="597"/>
      <c r="L256" s="597"/>
      <c r="M256" s="597"/>
      <c r="N256" s="597"/>
      <c r="O256" s="598"/>
      <c r="P256" s="90">
        <v>32</v>
      </c>
      <c r="Q256" s="71">
        <v>0</v>
      </c>
      <c r="R256" s="71">
        <v>927866</v>
      </c>
      <c r="S256" s="71">
        <v>1719929</v>
      </c>
      <c r="T256" s="71">
        <v>2951971</v>
      </c>
      <c r="U256" s="71">
        <v>5471891</v>
      </c>
      <c r="V256" s="71">
        <v>0</v>
      </c>
      <c r="X256" s="90">
        <f t="shared" si="91"/>
        <v>0</v>
      </c>
      <c r="Y256" s="90">
        <f t="shared" si="91"/>
        <v>0</v>
      </c>
      <c r="Z256" s="90">
        <f t="shared" si="91"/>
        <v>0</v>
      </c>
      <c r="AA256" s="90">
        <f t="shared" si="91"/>
        <v>0</v>
      </c>
      <c r="AB256" s="90">
        <f t="shared" si="91"/>
        <v>0</v>
      </c>
      <c r="AC256" s="90">
        <f t="shared" si="91"/>
        <v>0</v>
      </c>
      <c r="AE256" s="71">
        <f t="shared" si="92"/>
        <v>0</v>
      </c>
      <c r="AF256" s="71">
        <f t="shared" si="92"/>
        <v>0</v>
      </c>
      <c r="AG256" s="71">
        <f t="shared" si="92"/>
        <v>0</v>
      </c>
      <c r="AH256" s="71">
        <f t="shared" si="92"/>
        <v>0</v>
      </c>
      <c r="AI256" s="71">
        <f t="shared" si="92"/>
        <v>0</v>
      </c>
      <c r="AJ256" s="71">
        <f t="shared" si="92"/>
        <v>0</v>
      </c>
    </row>
    <row r="257" spans="2:36">
      <c r="B257" s="597"/>
      <c r="C257" s="597"/>
      <c r="D257" s="597"/>
      <c r="E257" s="597"/>
      <c r="F257" s="597"/>
      <c r="G257" s="597"/>
      <c r="I257" s="597"/>
      <c r="J257" s="597"/>
      <c r="K257" s="597"/>
      <c r="L257" s="597"/>
      <c r="M257" s="597"/>
      <c r="N257" s="597"/>
      <c r="O257" s="598"/>
      <c r="P257" s="90">
        <v>32</v>
      </c>
      <c r="Q257" s="71">
        <v>0</v>
      </c>
      <c r="R257" s="71">
        <v>927866</v>
      </c>
      <c r="S257" s="71">
        <v>1719929</v>
      </c>
      <c r="T257" s="71">
        <v>2951971</v>
      </c>
      <c r="U257" s="71">
        <v>5471891</v>
      </c>
      <c r="V257" s="71">
        <v>0</v>
      </c>
      <c r="X257" s="90">
        <f t="shared" si="91"/>
        <v>0</v>
      </c>
      <c r="Y257" s="90">
        <f t="shared" si="91"/>
        <v>0</v>
      </c>
      <c r="Z257" s="90">
        <f t="shared" si="91"/>
        <v>0</v>
      </c>
      <c r="AA257" s="90">
        <f t="shared" si="91"/>
        <v>0</v>
      </c>
      <c r="AB257" s="90">
        <f t="shared" si="91"/>
        <v>0</v>
      </c>
      <c r="AC257" s="90">
        <f t="shared" si="91"/>
        <v>0</v>
      </c>
      <c r="AE257" s="71">
        <f t="shared" si="92"/>
        <v>0</v>
      </c>
      <c r="AF257" s="71">
        <f t="shared" si="92"/>
        <v>0</v>
      </c>
      <c r="AG257" s="71">
        <f t="shared" si="92"/>
        <v>0</v>
      </c>
      <c r="AH257" s="71">
        <f t="shared" si="92"/>
        <v>0</v>
      </c>
      <c r="AI257" s="71">
        <f t="shared" si="92"/>
        <v>0</v>
      </c>
      <c r="AJ257" s="71">
        <f t="shared" si="92"/>
        <v>0</v>
      </c>
    </row>
    <row r="258" spans="2:36">
      <c r="B258" s="597"/>
      <c r="C258" s="597"/>
      <c r="D258" s="597"/>
      <c r="E258" s="597"/>
      <c r="F258" s="597"/>
      <c r="G258" s="597"/>
      <c r="I258" s="597"/>
      <c r="J258" s="597"/>
      <c r="K258" s="597"/>
      <c r="L258" s="597"/>
      <c r="M258" s="597"/>
      <c r="N258" s="597"/>
      <c r="O258" s="598"/>
      <c r="P258" s="90">
        <v>32</v>
      </c>
      <c r="Q258" s="71">
        <v>0</v>
      </c>
      <c r="R258" s="71">
        <v>927866</v>
      </c>
      <c r="S258" s="71">
        <v>1719929</v>
      </c>
      <c r="T258" s="71">
        <v>2951971</v>
      </c>
      <c r="U258" s="71">
        <v>5471891</v>
      </c>
      <c r="V258" s="71">
        <v>0</v>
      </c>
      <c r="X258" s="90">
        <f t="shared" si="91"/>
        <v>0</v>
      </c>
      <c r="Y258" s="90">
        <f t="shared" si="91"/>
        <v>0</v>
      </c>
      <c r="Z258" s="90">
        <f t="shared" si="91"/>
        <v>0</v>
      </c>
      <c r="AA258" s="90">
        <f t="shared" si="91"/>
        <v>0</v>
      </c>
      <c r="AB258" s="90">
        <f t="shared" si="91"/>
        <v>0</v>
      </c>
      <c r="AC258" s="90">
        <f t="shared" si="91"/>
        <v>0</v>
      </c>
      <c r="AE258" s="71">
        <f t="shared" si="92"/>
        <v>0</v>
      </c>
      <c r="AF258" s="71">
        <f t="shared" si="92"/>
        <v>0</v>
      </c>
      <c r="AG258" s="71">
        <f t="shared" si="92"/>
        <v>0</v>
      </c>
      <c r="AH258" s="71">
        <f t="shared" si="92"/>
        <v>0</v>
      </c>
      <c r="AI258" s="71">
        <f t="shared" si="92"/>
        <v>0</v>
      </c>
      <c r="AJ258" s="71">
        <f t="shared" si="92"/>
        <v>0</v>
      </c>
    </row>
    <row r="259" spans="2:36">
      <c r="B259" s="597"/>
      <c r="C259" s="597"/>
      <c r="D259" s="597"/>
      <c r="E259" s="597"/>
      <c r="F259" s="597"/>
      <c r="G259" s="597"/>
      <c r="I259" s="597"/>
      <c r="J259" s="597"/>
      <c r="K259" s="597"/>
      <c r="L259" s="597"/>
      <c r="M259" s="597"/>
      <c r="N259" s="597"/>
      <c r="O259" s="598"/>
      <c r="P259" s="90">
        <v>32</v>
      </c>
      <c r="Q259" s="71">
        <v>0</v>
      </c>
      <c r="R259" s="71">
        <v>927866</v>
      </c>
      <c r="S259" s="71">
        <v>1719929</v>
      </c>
      <c r="T259" s="71">
        <v>2951971</v>
      </c>
      <c r="U259" s="71">
        <v>5471891</v>
      </c>
      <c r="V259" s="71">
        <v>0</v>
      </c>
      <c r="X259" s="90">
        <f t="shared" si="91"/>
        <v>0</v>
      </c>
      <c r="Y259" s="90">
        <f t="shared" si="91"/>
        <v>0</v>
      </c>
      <c r="Z259" s="90">
        <f t="shared" si="91"/>
        <v>0</v>
      </c>
      <c r="AA259" s="90">
        <f t="shared" si="91"/>
        <v>0</v>
      </c>
      <c r="AB259" s="90">
        <f t="shared" si="91"/>
        <v>0</v>
      </c>
      <c r="AC259" s="90">
        <f t="shared" si="91"/>
        <v>0</v>
      </c>
      <c r="AE259" s="71">
        <f t="shared" si="92"/>
        <v>0</v>
      </c>
      <c r="AF259" s="71">
        <f t="shared" si="92"/>
        <v>0</v>
      </c>
      <c r="AG259" s="71">
        <f t="shared" si="92"/>
        <v>0</v>
      </c>
      <c r="AH259" s="71">
        <f t="shared" si="92"/>
        <v>0</v>
      </c>
      <c r="AI259" s="71">
        <f t="shared" si="92"/>
        <v>0</v>
      </c>
      <c r="AJ259" s="71">
        <f t="shared" si="92"/>
        <v>0</v>
      </c>
    </row>
    <row r="260" spans="2:36">
      <c r="B260" s="597"/>
      <c r="C260" s="597"/>
      <c r="D260" s="597"/>
      <c r="E260" s="597"/>
      <c r="F260" s="597"/>
      <c r="G260" s="597"/>
      <c r="I260" s="597"/>
      <c r="J260" s="597"/>
      <c r="K260" s="597"/>
      <c r="L260" s="597"/>
      <c r="M260" s="597"/>
      <c r="N260" s="597"/>
      <c r="O260" s="598"/>
      <c r="P260" s="90">
        <v>32</v>
      </c>
      <c r="Q260" s="71">
        <v>0</v>
      </c>
      <c r="R260" s="71">
        <v>927866</v>
      </c>
      <c r="S260" s="71">
        <v>1719929</v>
      </c>
      <c r="T260" s="71">
        <v>2951971</v>
      </c>
      <c r="U260" s="71">
        <v>5471891</v>
      </c>
      <c r="V260" s="71">
        <v>0</v>
      </c>
      <c r="X260" s="90">
        <f t="shared" si="91"/>
        <v>0</v>
      </c>
      <c r="Y260" s="90">
        <f t="shared" si="91"/>
        <v>0</v>
      </c>
      <c r="Z260" s="90">
        <f t="shared" si="91"/>
        <v>0</v>
      </c>
      <c r="AA260" s="90">
        <f t="shared" si="91"/>
        <v>0</v>
      </c>
      <c r="AB260" s="90">
        <f t="shared" si="91"/>
        <v>0</v>
      </c>
      <c r="AC260" s="90">
        <f t="shared" si="91"/>
        <v>0</v>
      </c>
      <c r="AE260" s="71">
        <f t="shared" si="92"/>
        <v>0</v>
      </c>
      <c r="AF260" s="71">
        <f t="shared" si="92"/>
        <v>0</v>
      </c>
      <c r="AG260" s="71">
        <f t="shared" si="92"/>
        <v>0</v>
      </c>
      <c r="AH260" s="71">
        <f t="shared" si="92"/>
        <v>0</v>
      </c>
      <c r="AI260" s="71">
        <f t="shared" si="92"/>
        <v>0</v>
      </c>
      <c r="AJ260" s="71">
        <f t="shared" si="92"/>
        <v>0</v>
      </c>
    </row>
    <row r="261" spans="2:36" s="599" customFormat="1">
      <c r="B261" s="600"/>
      <c r="C261" s="600"/>
      <c r="D261" s="600"/>
      <c r="E261" s="600"/>
      <c r="F261" s="600"/>
      <c r="G261" s="600"/>
      <c r="I261" s="600"/>
      <c r="J261" s="600"/>
      <c r="K261" s="600"/>
      <c r="L261" s="600"/>
      <c r="M261" s="600"/>
      <c r="N261" s="600"/>
      <c r="O261" s="601"/>
      <c r="P261" s="599">
        <v>32</v>
      </c>
      <c r="Q261" s="602">
        <v>0</v>
      </c>
      <c r="R261" s="602">
        <v>927866</v>
      </c>
      <c r="S261" s="602">
        <v>1719929</v>
      </c>
      <c r="T261" s="602">
        <v>2951971</v>
      </c>
      <c r="U261" s="602">
        <v>5471891</v>
      </c>
      <c r="V261" s="602">
        <v>0</v>
      </c>
      <c r="X261" s="599">
        <f t="shared" si="91"/>
        <v>0</v>
      </c>
      <c r="Y261" s="599">
        <f t="shared" si="91"/>
        <v>0</v>
      </c>
      <c r="Z261" s="599">
        <f t="shared" si="91"/>
        <v>0</v>
      </c>
      <c r="AA261" s="599">
        <f t="shared" si="91"/>
        <v>0</v>
      </c>
      <c r="AB261" s="599">
        <f t="shared" si="91"/>
        <v>0</v>
      </c>
      <c r="AC261" s="599">
        <f t="shared" si="91"/>
        <v>0</v>
      </c>
      <c r="AE261" s="602">
        <f t="shared" si="92"/>
        <v>0</v>
      </c>
      <c r="AF261" s="602">
        <f t="shared" si="92"/>
        <v>0</v>
      </c>
      <c r="AG261" s="602">
        <f t="shared" si="92"/>
        <v>0</v>
      </c>
      <c r="AH261" s="602">
        <f t="shared" si="92"/>
        <v>0</v>
      </c>
      <c r="AI261" s="602">
        <f t="shared" si="92"/>
        <v>0</v>
      </c>
      <c r="AJ261" s="602">
        <f t="shared" si="92"/>
        <v>0</v>
      </c>
    </row>
    <row r="262" spans="2:36" s="605" customFormat="1">
      <c r="B262" s="604"/>
      <c r="C262" s="604"/>
      <c r="D262" s="604"/>
      <c r="E262" s="604"/>
      <c r="F262" s="604"/>
      <c r="G262" s="604"/>
      <c r="I262" s="604"/>
      <c r="J262" s="604"/>
      <c r="K262" s="604"/>
      <c r="L262" s="604"/>
      <c r="M262" s="604"/>
      <c r="N262" s="604"/>
      <c r="O262" s="606"/>
      <c r="P262" s="605">
        <v>33</v>
      </c>
      <c r="Q262" s="607">
        <v>0</v>
      </c>
      <c r="R262" s="607">
        <v>2783597</v>
      </c>
      <c r="S262" s="607">
        <v>6449732</v>
      </c>
      <c r="T262" s="607">
        <v>11217488</v>
      </c>
      <c r="U262" s="607">
        <v>19151617</v>
      </c>
      <c r="V262" s="607">
        <v>0</v>
      </c>
      <c r="X262" s="605">
        <f t="shared" si="91"/>
        <v>0</v>
      </c>
      <c r="Y262" s="605">
        <f t="shared" si="91"/>
        <v>0</v>
      </c>
      <c r="Z262" s="605">
        <f t="shared" si="91"/>
        <v>0</v>
      </c>
      <c r="AA262" s="605">
        <f t="shared" si="91"/>
        <v>0</v>
      </c>
      <c r="AB262" s="605">
        <f t="shared" si="91"/>
        <v>0</v>
      </c>
      <c r="AC262" s="605">
        <f t="shared" si="91"/>
        <v>0</v>
      </c>
      <c r="AE262" s="607">
        <f t="shared" si="92"/>
        <v>0</v>
      </c>
      <c r="AF262" s="607">
        <f t="shared" si="92"/>
        <v>0</v>
      </c>
      <c r="AG262" s="607">
        <f t="shared" si="92"/>
        <v>0</v>
      </c>
      <c r="AH262" s="607">
        <f t="shared" si="92"/>
        <v>0</v>
      </c>
      <c r="AI262" s="607">
        <f t="shared" si="92"/>
        <v>0</v>
      </c>
      <c r="AJ262" s="607">
        <f t="shared" si="92"/>
        <v>0</v>
      </c>
    </row>
    <row r="263" spans="2:36">
      <c r="B263" s="597"/>
      <c r="C263" s="597"/>
      <c r="D263" s="597"/>
      <c r="E263" s="597"/>
      <c r="F263" s="597"/>
      <c r="G263" s="597"/>
      <c r="I263" s="597"/>
      <c r="J263" s="597"/>
      <c r="K263" s="597"/>
      <c r="L263" s="597"/>
      <c r="M263" s="597"/>
      <c r="N263" s="597"/>
      <c r="O263" s="598"/>
      <c r="P263" s="90">
        <v>33</v>
      </c>
      <c r="Q263" s="71">
        <v>0</v>
      </c>
      <c r="R263" s="71">
        <v>2783597</v>
      </c>
      <c r="S263" s="71">
        <v>6449732</v>
      </c>
      <c r="T263" s="71">
        <v>11217488</v>
      </c>
      <c r="U263" s="71">
        <v>19151617</v>
      </c>
      <c r="V263" s="71">
        <v>0</v>
      </c>
      <c r="X263" s="90">
        <f t="shared" si="91"/>
        <v>0</v>
      </c>
      <c r="Y263" s="90">
        <f t="shared" si="91"/>
        <v>0</v>
      </c>
      <c r="Z263" s="90">
        <f t="shared" si="91"/>
        <v>0</v>
      </c>
      <c r="AA263" s="90">
        <f t="shared" si="91"/>
        <v>0</v>
      </c>
      <c r="AB263" s="90">
        <f t="shared" si="91"/>
        <v>0</v>
      </c>
      <c r="AC263" s="90">
        <f t="shared" si="91"/>
        <v>0</v>
      </c>
      <c r="AE263" s="71">
        <f t="shared" si="92"/>
        <v>0</v>
      </c>
      <c r="AF263" s="71">
        <f t="shared" si="92"/>
        <v>0</v>
      </c>
      <c r="AG263" s="71">
        <f t="shared" si="92"/>
        <v>0</v>
      </c>
      <c r="AH263" s="71">
        <f t="shared" si="92"/>
        <v>0</v>
      </c>
      <c r="AI263" s="71">
        <f t="shared" si="92"/>
        <v>0</v>
      </c>
      <c r="AJ263" s="71">
        <f t="shared" si="92"/>
        <v>0</v>
      </c>
    </row>
    <row r="264" spans="2:36">
      <c r="B264" s="597"/>
      <c r="C264" s="597"/>
      <c r="D264" s="597"/>
      <c r="E264" s="597"/>
      <c r="F264" s="597"/>
      <c r="G264" s="597"/>
      <c r="I264" s="597"/>
      <c r="J264" s="597"/>
      <c r="K264" s="597"/>
      <c r="L264" s="597"/>
      <c r="M264" s="597"/>
      <c r="N264" s="597"/>
      <c r="O264" s="598"/>
      <c r="P264" s="90">
        <v>33</v>
      </c>
      <c r="Q264" s="71">
        <v>0</v>
      </c>
      <c r="R264" s="71">
        <v>2783597</v>
      </c>
      <c r="S264" s="71">
        <v>6449732</v>
      </c>
      <c r="T264" s="71">
        <v>11217488</v>
      </c>
      <c r="U264" s="71">
        <v>19151617</v>
      </c>
      <c r="V264" s="71">
        <v>0</v>
      </c>
      <c r="X264" s="90">
        <f t="shared" si="91"/>
        <v>0</v>
      </c>
      <c r="Y264" s="90">
        <f t="shared" si="91"/>
        <v>0</v>
      </c>
      <c r="Z264" s="90">
        <f t="shared" si="91"/>
        <v>0</v>
      </c>
      <c r="AA264" s="90">
        <f t="shared" si="91"/>
        <v>0</v>
      </c>
      <c r="AB264" s="90">
        <f t="shared" si="91"/>
        <v>0</v>
      </c>
      <c r="AC264" s="90">
        <f t="shared" si="91"/>
        <v>0</v>
      </c>
      <c r="AE264" s="71">
        <f t="shared" si="92"/>
        <v>0</v>
      </c>
      <c r="AF264" s="71">
        <f t="shared" si="92"/>
        <v>0</v>
      </c>
      <c r="AG264" s="71">
        <f t="shared" si="92"/>
        <v>0</v>
      </c>
      <c r="AH264" s="71">
        <f t="shared" si="92"/>
        <v>0</v>
      </c>
      <c r="AI264" s="71">
        <f t="shared" si="92"/>
        <v>0</v>
      </c>
      <c r="AJ264" s="71">
        <f t="shared" si="92"/>
        <v>0</v>
      </c>
    </row>
    <row r="265" spans="2:36">
      <c r="B265" s="597"/>
      <c r="C265" s="597"/>
      <c r="D265" s="597"/>
      <c r="E265" s="597"/>
      <c r="F265" s="597"/>
      <c r="G265" s="597"/>
      <c r="I265" s="597"/>
      <c r="J265" s="597"/>
      <c r="K265" s="597"/>
      <c r="L265" s="597"/>
      <c r="M265" s="597"/>
      <c r="N265" s="597"/>
      <c r="O265" s="598"/>
      <c r="P265" s="90">
        <v>33</v>
      </c>
      <c r="Q265" s="71">
        <v>0</v>
      </c>
      <c r="R265" s="71">
        <v>2783597</v>
      </c>
      <c r="S265" s="71">
        <v>6449732</v>
      </c>
      <c r="T265" s="71">
        <v>11217488</v>
      </c>
      <c r="U265" s="71">
        <v>19151617</v>
      </c>
      <c r="V265" s="71">
        <v>0</v>
      </c>
      <c r="X265" s="90">
        <f t="shared" si="91"/>
        <v>0</v>
      </c>
      <c r="Y265" s="90">
        <f t="shared" si="91"/>
        <v>0</v>
      </c>
      <c r="Z265" s="90">
        <f t="shared" si="91"/>
        <v>0</v>
      </c>
      <c r="AA265" s="90">
        <f t="shared" si="91"/>
        <v>0</v>
      </c>
      <c r="AB265" s="90">
        <f t="shared" si="91"/>
        <v>0</v>
      </c>
      <c r="AC265" s="90">
        <f t="shared" si="91"/>
        <v>0</v>
      </c>
      <c r="AE265" s="71">
        <f t="shared" si="92"/>
        <v>0</v>
      </c>
      <c r="AF265" s="71">
        <f t="shared" si="92"/>
        <v>0</v>
      </c>
      <c r="AG265" s="71">
        <f t="shared" si="92"/>
        <v>0</v>
      </c>
      <c r="AH265" s="71">
        <f t="shared" si="92"/>
        <v>0</v>
      </c>
      <c r="AI265" s="71">
        <f t="shared" si="92"/>
        <v>0</v>
      </c>
      <c r="AJ265" s="71">
        <f t="shared" si="92"/>
        <v>0</v>
      </c>
    </row>
    <row r="266" spans="2:36">
      <c r="B266" s="597"/>
      <c r="C266" s="597"/>
      <c r="D266" s="597"/>
      <c r="E266" s="597"/>
      <c r="F266" s="597"/>
      <c r="G266" s="597"/>
      <c r="I266" s="597"/>
      <c r="J266" s="597"/>
      <c r="K266" s="597"/>
      <c r="L266" s="597"/>
      <c r="M266" s="597"/>
      <c r="N266" s="597"/>
      <c r="O266" s="598"/>
      <c r="P266" s="90">
        <v>33</v>
      </c>
      <c r="Q266" s="71">
        <v>0</v>
      </c>
      <c r="R266" s="71">
        <v>2783597</v>
      </c>
      <c r="S266" s="71">
        <v>6449732</v>
      </c>
      <c r="T266" s="71">
        <v>11217488</v>
      </c>
      <c r="U266" s="71">
        <v>19151617</v>
      </c>
      <c r="V266" s="71">
        <v>0</v>
      </c>
      <c r="X266" s="90">
        <f t="shared" si="91"/>
        <v>0</v>
      </c>
      <c r="Y266" s="90">
        <f t="shared" si="91"/>
        <v>0</v>
      </c>
      <c r="Z266" s="90">
        <f t="shared" si="91"/>
        <v>0</v>
      </c>
      <c r="AA266" s="90">
        <f t="shared" si="91"/>
        <v>0</v>
      </c>
      <c r="AB266" s="90">
        <f t="shared" si="91"/>
        <v>0</v>
      </c>
      <c r="AC266" s="90">
        <f t="shared" si="91"/>
        <v>0</v>
      </c>
      <c r="AE266" s="71">
        <f t="shared" si="92"/>
        <v>0</v>
      </c>
      <c r="AF266" s="71">
        <f t="shared" si="92"/>
        <v>0</v>
      </c>
      <c r="AG266" s="71">
        <f t="shared" si="92"/>
        <v>0</v>
      </c>
      <c r="AH266" s="71">
        <f t="shared" si="92"/>
        <v>0</v>
      </c>
      <c r="AI266" s="71">
        <f t="shared" si="92"/>
        <v>0</v>
      </c>
      <c r="AJ266" s="71">
        <f t="shared" si="92"/>
        <v>0</v>
      </c>
    </row>
    <row r="267" spans="2:36">
      <c r="B267" s="597"/>
      <c r="C267" s="597"/>
      <c r="D267" s="597"/>
      <c r="E267" s="597"/>
      <c r="F267" s="597"/>
      <c r="G267" s="597"/>
      <c r="I267" s="597"/>
      <c r="J267" s="597"/>
      <c r="K267" s="597"/>
      <c r="L267" s="597"/>
      <c r="M267" s="597"/>
      <c r="N267" s="597"/>
      <c r="O267" s="598"/>
      <c r="P267" s="90">
        <v>33</v>
      </c>
      <c r="Q267" s="71">
        <v>0</v>
      </c>
      <c r="R267" s="71">
        <v>2783597</v>
      </c>
      <c r="S267" s="71">
        <v>6449732</v>
      </c>
      <c r="T267" s="71">
        <v>11217488</v>
      </c>
      <c r="U267" s="71">
        <v>19151617</v>
      </c>
      <c r="V267" s="71">
        <v>0</v>
      </c>
      <c r="X267" s="90">
        <f t="shared" si="91"/>
        <v>0</v>
      </c>
      <c r="Y267" s="90">
        <f t="shared" si="91"/>
        <v>0</v>
      </c>
      <c r="Z267" s="90">
        <f t="shared" si="91"/>
        <v>0</v>
      </c>
      <c r="AA267" s="90">
        <f t="shared" si="91"/>
        <v>0</v>
      </c>
      <c r="AB267" s="90">
        <f t="shared" si="91"/>
        <v>0</v>
      </c>
      <c r="AC267" s="90">
        <f t="shared" si="91"/>
        <v>0</v>
      </c>
      <c r="AE267" s="71">
        <f t="shared" si="92"/>
        <v>0</v>
      </c>
      <c r="AF267" s="71">
        <f t="shared" si="92"/>
        <v>0</v>
      </c>
      <c r="AG267" s="71">
        <f t="shared" si="92"/>
        <v>0</v>
      </c>
      <c r="AH267" s="71">
        <f t="shared" si="92"/>
        <v>0</v>
      </c>
      <c r="AI267" s="71">
        <f t="shared" si="92"/>
        <v>0</v>
      </c>
      <c r="AJ267" s="71">
        <f t="shared" si="92"/>
        <v>0</v>
      </c>
    </row>
    <row r="268" spans="2:36">
      <c r="B268" s="597"/>
      <c r="C268" s="597"/>
      <c r="D268" s="597"/>
      <c r="E268" s="597"/>
      <c r="F268" s="597"/>
      <c r="G268" s="597"/>
      <c r="I268" s="597"/>
      <c r="J268" s="597"/>
      <c r="K268" s="597"/>
      <c r="L268" s="597"/>
      <c r="M268" s="597"/>
      <c r="N268" s="597"/>
      <c r="O268" s="598"/>
      <c r="P268" s="90">
        <v>33</v>
      </c>
      <c r="Q268" s="71">
        <v>0</v>
      </c>
      <c r="R268" s="71">
        <v>2783597</v>
      </c>
      <c r="S268" s="71">
        <v>6449732</v>
      </c>
      <c r="T268" s="71">
        <v>11217488</v>
      </c>
      <c r="U268" s="71">
        <v>19151617</v>
      </c>
      <c r="V268" s="71">
        <v>0</v>
      </c>
      <c r="X268" s="90">
        <f t="shared" si="91"/>
        <v>0</v>
      </c>
      <c r="Y268" s="90">
        <f t="shared" si="91"/>
        <v>0</v>
      </c>
      <c r="Z268" s="90">
        <f t="shared" si="91"/>
        <v>0</v>
      </c>
      <c r="AA268" s="90">
        <f t="shared" si="91"/>
        <v>0</v>
      </c>
      <c r="AB268" s="90">
        <f t="shared" si="91"/>
        <v>0</v>
      </c>
      <c r="AC268" s="90">
        <f t="shared" si="91"/>
        <v>0</v>
      </c>
      <c r="AE268" s="71">
        <f t="shared" si="92"/>
        <v>0</v>
      </c>
      <c r="AF268" s="71">
        <f t="shared" si="92"/>
        <v>0</v>
      </c>
      <c r="AG268" s="71">
        <f t="shared" si="92"/>
        <v>0</v>
      </c>
      <c r="AH268" s="71">
        <f t="shared" si="92"/>
        <v>0</v>
      </c>
      <c r="AI268" s="71">
        <f t="shared" si="92"/>
        <v>0</v>
      </c>
      <c r="AJ268" s="71">
        <f t="shared" si="92"/>
        <v>0</v>
      </c>
    </row>
    <row r="269" spans="2:36" s="599" customFormat="1">
      <c r="B269" s="600"/>
      <c r="C269" s="600"/>
      <c r="D269" s="600"/>
      <c r="E269" s="600"/>
      <c r="F269" s="600"/>
      <c r="G269" s="600"/>
      <c r="I269" s="600"/>
      <c r="J269" s="600"/>
      <c r="K269" s="600"/>
      <c r="L269" s="600"/>
      <c r="M269" s="600"/>
      <c r="N269" s="600"/>
      <c r="O269" s="601"/>
      <c r="P269" s="599">
        <v>33</v>
      </c>
      <c r="Q269" s="602">
        <v>0</v>
      </c>
      <c r="R269" s="602">
        <v>2783597</v>
      </c>
      <c r="S269" s="602">
        <v>6449732</v>
      </c>
      <c r="T269" s="602">
        <v>11217488</v>
      </c>
      <c r="U269" s="602">
        <v>19151617</v>
      </c>
      <c r="V269" s="602">
        <v>0</v>
      </c>
      <c r="X269" s="599">
        <f t="shared" si="91"/>
        <v>0</v>
      </c>
      <c r="Y269" s="599">
        <f t="shared" si="91"/>
        <v>0</v>
      </c>
      <c r="Z269" s="599">
        <f t="shared" si="91"/>
        <v>0</v>
      </c>
      <c r="AA269" s="599">
        <f t="shared" si="91"/>
        <v>0</v>
      </c>
      <c r="AB269" s="599">
        <f t="shared" si="91"/>
        <v>0</v>
      </c>
      <c r="AC269" s="599">
        <f t="shared" si="91"/>
        <v>0</v>
      </c>
      <c r="AE269" s="602">
        <f t="shared" si="92"/>
        <v>0</v>
      </c>
      <c r="AF269" s="602">
        <f t="shared" si="92"/>
        <v>0</v>
      </c>
      <c r="AG269" s="602">
        <f t="shared" si="92"/>
        <v>0</v>
      </c>
      <c r="AH269" s="602">
        <f t="shared" si="92"/>
        <v>0</v>
      </c>
      <c r="AI269" s="602">
        <f t="shared" si="92"/>
        <v>0</v>
      </c>
      <c r="AJ269" s="602">
        <f t="shared" si="92"/>
        <v>0</v>
      </c>
    </row>
    <row r="270" spans="2:36" s="605" customFormat="1">
      <c r="B270" s="604"/>
      <c r="C270" s="604"/>
      <c r="D270" s="604"/>
      <c r="E270" s="604"/>
      <c r="F270" s="604"/>
      <c r="G270" s="604"/>
      <c r="I270" s="604"/>
      <c r="J270" s="604"/>
      <c r="K270" s="604"/>
      <c r="L270" s="604"/>
      <c r="M270" s="604"/>
      <c r="N270" s="604"/>
      <c r="O270" s="606"/>
      <c r="P270" s="605">
        <v>34</v>
      </c>
      <c r="Q270" s="607">
        <v>0</v>
      </c>
      <c r="R270" s="607">
        <v>903</v>
      </c>
      <c r="S270" s="607">
        <v>1395</v>
      </c>
      <c r="T270" s="607">
        <v>3255</v>
      </c>
      <c r="U270" s="607">
        <v>4658</v>
      </c>
      <c r="V270" s="607">
        <v>0</v>
      </c>
      <c r="X270" s="605">
        <f t="shared" si="91"/>
        <v>0</v>
      </c>
      <c r="Y270" s="605">
        <f t="shared" si="91"/>
        <v>0</v>
      </c>
      <c r="Z270" s="605">
        <f t="shared" si="91"/>
        <v>0</v>
      </c>
      <c r="AA270" s="605">
        <f t="shared" si="91"/>
        <v>0</v>
      </c>
      <c r="AB270" s="605">
        <f t="shared" si="91"/>
        <v>0</v>
      </c>
      <c r="AC270" s="605">
        <f t="shared" si="91"/>
        <v>0</v>
      </c>
      <c r="AE270" s="607">
        <f t="shared" si="92"/>
        <v>0</v>
      </c>
      <c r="AF270" s="607">
        <f t="shared" si="92"/>
        <v>0</v>
      </c>
      <c r="AG270" s="607">
        <f t="shared" si="92"/>
        <v>0</v>
      </c>
      <c r="AH270" s="607">
        <f t="shared" si="92"/>
        <v>0</v>
      </c>
      <c r="AI270" s="607">
        <f t="shared" si="92"/>
        <v>0</v>
      </c>
      <c r="AJ270" s="607">
        <f t="shared" si="92"/>
        <v>0</v>
      </c>
    </row>
    <row r="271" spans="2:36">
      <c r="B271" s="597"/>
      <c r="C271" s="597"/>
      <c r="D271" s="597"/>
      <c r="E271" s="597"/>
      <c r="F271" s="597"/>
      <c r="G271" s="597"/>
      <c r="I271" s="597"/>
      <c r="J271" s="597"/>
      <c r="K271" s="597"/>
      <c r="L271" s="597"/>
      <c r="M271" s="597"/>
      <c r="N271" s="597"/>
      <c r="O271" s="598"/>
      <c r="P271" s="90">
        <v>34</v>
      </c>
      <c r="Q271" s="71">
        <v>0</v>
      </c>
      <c r="R271" s="71">
        <v>903</v>
      </c>
      <c r="S271" s="71">
        <v>1395</v>
      </c>
      <c r="T271" s="71">
        <v>3255</v>
      </c>
      <c r="U271" s="71">
        <v>4658</v>
      </c>
      <c r="V271" s="71">
        <v>0</v>
      </c>
      <c r="X271" s="90">
        <f t="shared" si="91"/>
        <v>0</v>
      </c>
      <c r="Y271" s="90">
        <f t="shared" si="91"/>
        <v>0</v>
      </c>
      <c r="Z271" s="90">
        <f t="shared" si="91"/>
        <v>0</v>
      </c>
      <c r="AA271" s="90">
        <f t="shared" si="91"/>
        <v>0</v>
      </c>
      <c r="AB271" s="90">
        <f t="shared" si="91"/>
        <v>0</v>
      </c>
      <c r="AC271" s="90">
        <f t="shared" si="91"/>
        <v>0</v>
      </c>
      <c r="AE271" s="71">
        <f t="shared" si="92"/>
        <v>0</v>
      </c>
      <c r="AF271" s="71">
        <f t="shared" si="92"/>
        <v>0</v>
      </c>
      <c r="AG271" s="71">
        <f t="shared" si="92"/>
        <v>0</v>
      </c>
      <c r="AH271" s="71">
        <f t="shared" si="92"/>
        <v>0</v>
      </c>
      <c r="AI271" s="71">
        <f t="shared" si="92"/>
        <v>0</v>
      </c>
      <c r="AJ271" s="71">
        <f t="shared" si="92"/>
        <v>0</v>
      </c>
    </row>
    <row r="272" spans="2:36">
      <c r="B272" s="597"/>
      <c r="C272" s="597"/>
      <c r="D272" s="597"/>
      <c r="E272" s="597"/>
      <c r="F272" s="597"/>
      <c r="G272" s="597"/>
      <c r="I272" s="597"/>
      <c r="J272" s="597"/>
      <c r="K272" s="597"/>
      <c r="L272" s="597"/>
      <c r="M272" s="597"/>
      <c r="N272" s="597"/>
      <c r="O272" s="598"/>
      <c r="P272" s="90">
        <v>34</v>
      </c>
      <c r="Q272" s="71">
        <v>0</v>
      </c>
      <c r="R272" s="71">
        <v>903</v>
      </c>
      <c r="S272" s="71">
        <v>1395</v>
      </c>
      <c r="T272" s="71">
        <v>3255</v>
      </c>
      <c r="U272" s="71">
        <v>4658</v>
      </c>
      <c r="V272" s="71">
        <v>0</v>
      </c>
      <c r="X272" s="90">
        <f t="shared" si="91"/>
        <v>0</v>
      </c>
      <c r="Y272" s="90">
        <f t="shared" si="91"/>
        <v>0</v>
      </c>
      <c r="Z272" s="90">
        <f t="shared" si="91"/>
        <v>0</v>
      </c>
      <c r="AA272" s="90">
        <f t="shared" si="91"/>
        <v>0</v>
      </c>
      <c r="AB272" s="90">
        <f t="shared" si="91"/>
        <v>0</v>
      </c>
      <c r="AC272" s="90">
        <f t="shared" si="91"/>
        <v>0</v>
      </c>
      <c r="AE272" s="71">
        <f t="shared" si="92"/>
        <v>0</v>
      </c>
      <c r="AF272" s="71">
        <f t="shared" si="92"/>
        <v>0</v>
      </c>
      <c r="AG272" s="71">
        <f t="shared" si="92"/>
        <v>0</v>
      </c>
      <c r="AH272" s="71">
        <f t="shared" si="92"/>
        <v>0</v>
      </c>
      <c r="AI272" s="71">
        <f t="shared" si="92"/>
        <v>0</v>
      </c>
      <c r="AJ272" s="71">
        <f t="shared" si="92"/>
        <v>0</v>
      </c>
    </row>
    <row r="273" spans="2:36">
      <c r="B273" s="597"/>
      <c r="C273" s="597"/>
      <c r="D273" s="597"/>
      <c r="E273" s="597"/>
      <c r="F273" s="597"/>
      <c r="G273" s="597"/>
      <c r="I273" s="597"/>
      <c r="J273" s="597"/>
      <c r="K273" s="597"/>
      <c r="L273" s="597"/>
      <c r="M273" s="597"/>
      <c r="N273" s="597"/>
      <c r="O273" s="598"/>
      <c r="P273" s="90">
        <v>34</v>
      </c>
      <c r="Q273" s="71">
        <v>0</v>
      </c>
      <c r="R273" s="71">
        <v>903</v>
      </c>
      <c r="S273" s="71">
        <v>1395</v>
      </c>
      <c r="T273" s="71">
        <v>3255</v>
      </c>
      <c r="U273" s="71">
        <v>4658</v>
      </c>
      <c r="V273" s="71">
        <v>0</v>
      </c>
      <c r="X273" s="90">
        <f t="shared" si="91"/>
        <v>0</v>
      </c>
      <c r="Y273" s="90">
        <f t="shared" si="91"/>
        <v>0</v>
      </c>
      <c r="Z273" s="90">
        <f t="shared" si="91"/>
        <v>0</v>
      </c>
      <c r="AA273" s="90">
        <f t="shared" si="91"/>
        <v>0</v>
      </c>
      <c r="AB273" s="90">
        <f t="shared" si="91"/>
        <v>0</v>
      </c>
      <c r="AC273" s="90">
        <f t="shared" si="91"/>
        <v>0</v>
      </c>
      <c r="AE273" s="71">
        <f t="shared" si="92"/>
        <v>0</v>
      </c>
      <c r="AF273" s="71">
        <f t="shared" si="92"/>
        <v>0</v>
      </c>
      <c r="AG273" s="71">
        <f t="shared" si="92"/>
        <v>0</v>
      </c>
      <c r="AH273" s="71">
        <f t="shared" si="92"/>
        <v>0</v>
      </c>
      <c r="AI273" s="71">
        <f t="shared" si="92"/>
        <v>0</v>
      </c>
      <c r="AJ273" s="71">
        <f t="shared" si="92"/>
        <v>0</v>
      </c>
    </row>
    <row r="274" spans="2:36">
      <c r="B274" s="597"/>
      <c r="C274" s="597"/>
      <c r="D274" s="597"/>
      <c r="E274" s="597"/>
      <c r="F274" s="597"/>
      <c r="G274" s="597"/>
      <c r="I274" s="597"/>
      <c r="J274" s="597"/>
      <c r="K274" s="597"/>
      <c r="L274" s="597"/>
      <c r="M274" s="597"/>
      <c r="N274" s="597"/>
      <c r="O274" s="598"/>
      <c r="P274" s="90">
        <v>34</v>
      </c>
      <c r="Q274" s="71">
        <v>0</v>
      </c>
      <c r="R274" s="71">
        <v>903</v>
      </c>
      <c r="S274" s="71">
        <v>1395</v>
      </c>
      <c r="T274" s="71">
        <v>3255</v>
      </c>
      <c r="U274" s="71">
        <v>4658</v>
      </c>
      <c r="V274" s="71">
        <v>0</v>
      </c>
      <c r="X274" s="90">
        <f t="shared" si="91"/>
        <v>0</v>
      </c>
      <c r="Y274" s="90">
        <f t="shared" si="91"/>
        <v>0</v>
      </c>
      <c r="Z274" s="90">
        <f t="shared" si="91"/>
        <v>0</v>
      </c>
      <c r="AA274" s="90">
        <f t="shared" si="91"/>
        <v>0</v>
      </c>
      <c r="AB274" s="90">
        <f t="shared" si="91"/>
        <v>0</v>
      </c>
      <c r="AC274" s="90">
        <f t="shared" si="91"/>
        <v>0</v>
      </c>
      <c r="AE274" s="71">
        <f t="shared" si="92"/>
        <v>0</v>
      </c>
      <c r="AF274" s="71">
        <f t="shared" si="92"/>
        <v>0</v>
      </c>
      <c r="AG274" s="71">
        <f t="shared" si="92"/>
        <v>0</v>
      </c>
      <c r="AH274" s="71">
        <f t="shared" si="92"/>
        <v>0</v>
      </c>
      <c r="AI274" s="71">
        <f t="shared" si="92"/>
        <v>0</v>
      </c>
      <c r="AJ274" s="71">
        <f t="shared" si="92"/>
        <v>0</v>
      </c>
    </row>
    <row r="275" spans="2:36">
      <c r="B275" s="597"/>
      <c r="C275" s="597"/>
      <c r="D275" s="597"/>
      <c r="E275" s="597"/>
      <c r="F275" s="597"/>
      <c r="G275" s="597"/>
      <c r="I275" s="597"/>
      <c r="J275" s="597"/>
      <c r="K275" s="597"/>
      <c r="L275" s="597"/>
      <c r="M275" s="597"/>
      <c r="N275" s="597"/>
      <c r="O275" s="598"/>
      <c r="P275" s="90">
        <v>34</v>
      </c>
      <c r="Q275" s="71">
        <v>0</v>
      </c>
      <c r="R275" s="71">
        <v>903</v>
      </c>
      <c r="S275" s="71">
        <v>1395</v>
      </c>
      <c r="T275" s="71">
        <v>3255</v>
      </c>
      <c r="U275" s="71">
        <v>4658</v>
      </c>
      <c r="V275" s="71">
        <v>0</v>
      </c>
      <c r="X275" s="90">
        <f t="shared" si="91"/>
        <v>0</v>
      </c>
      <c r="Y275" s="90">
        <f t="shared" si="91"/>
        <v>0</v>
      </c>
      <c r="Z275" s="90">
        <f t="shared" si="91"/>
        <v>0</v>
      </c>
      <c r="AA275" s="90">
        <f t="shared" si="91"/>
        <v>0</v>
      </c>
      <c r="AB275" s="90">
        <f t="shared" si="91"/>
        <v>0</v>
      </c>
      <c r="AC275" s="90">
        <f t="shared" si="91"/>
        <v>0</v>
      </c>
      <c r="AE275" s="71">
        <f t="shared" si="92"/>
        <v>0</v>
      </c>
      <c r="AF275" s="71">
        <f t="shared" si="92"/>
        <v>0</v>
      </c>
      <c r="AG275" s="71">
        <f t="shared" si="92"/>
        <v>0</v>
      </c>
      <c r="AH275" s="71">
        <f t="shared" si="92"/>
        <v>0</v>
      </c>
      <c r="AI275" s="71">
        <f t="shared" si="92"/>
        <v>0</v>
      </c>
      <c r="AJ275" s="71">
        <f t="shared" si="92"/>
        <v>0</v>
      </c>
    </row>
    <row r="276" spans="2:36">
      <c r="B276" s="597"/>
      <c r="C276" s="597"/>
      <c r="D276" s="597"/>
      <c r="E276" s="597"/>
      <c r="F276" s="597"/>
      <c r="G276" s="597"/>
      <c r="I276" s="597"/>
      <c r="J276" s="597"/>
      <c r="K276" s="597"/>
      <c r="L276" s="597"/>
      <c r="M276" s="597"/>
      <c r="N276" s="597"/>
      <c r="O276" s="598"/>
      <c r="P276" s="90">
        <v>34</v>
      </c>
      <c r="Q276" s="71">
        <v>0</v>
      </c>
      <c r="R276" s="71">
        <v>903</v>
      </c>
      <c r="S276" s="71">
        <v>1395</v>
      </c>
      <c r="T276" s="71">
        <v>3255</v>
      </c>
      <c r="U276" s="71">
        <v>4658</v>
      </c>
      <c r="V276" s="71">
        <v>0</v>
      </c>
      <c r="X276" s="90">
        <f t="shared" si="91"/>
        <v>0</v>
      </c>
      <c r="Y276" s="90">
        <f t="shared" si="91"/>
        <v>0</v>
      </c>
      <c r="Z276" s="90">
        <f t="shared" si="91"/>
        <v>0</v>
      </c>
      <c r="AA276" s="90">
        <f t="shared" si="91"/>
        <v>0</v>
      </c>
      <c r="AB276" s="90">
        <f t="shared" si="91"/>
        <v>0</v>
      </c>
      <c r="AC276" s="90">
        <f t="shared" si="91"/>
        <v>0</v>
      </c>
      <c r="AE276" s="71">
        <f t="shared" si="92"/>
        <v>0</v>
      </c>
      <c r="AF276" s="71">
        <f t="shared" si="92"/>
        <v>0</v>
      </c>
      <c r="AG276" s="71">
        <f t="shared" si="92"/>
        <v>0</v>
      </c>
      <c r="AH276" s="71">
        <f t="shared" si="92"/>
        <v>0</v>
      </c>
      <c r="AI276" s="71">
        <f t="shared" si="92"/>
        <v>0</v>
      </c>
      <c r="AJ276" s="71">
        <f t="shared" si="92"/>
        <v>0</v>
      </c>
    </row>
    <row r="277" spans="2:36" s="599" customFormat="1">
      <c r="B277" s="600"/>
      <c r="C277" s="600"/>
      <c r="D277" s="600"/>
      <c r="E277" s="600"/>
      <c r="F277" s="600"/>
      <c r="G277" s="600"/>
      <c r="I277" s="600"/>
      <c r="J277" s="600"/>
      <c r="K277" s="600"/>
      <c r="L277" s="600"/>
      <c r="M277" s="600"/>
      <c r="N277" s="600"/>
      <c r="O277" s="601"/>
      <c r="P277" s="599">
        <v>34</v>
      </c>
      <c r="Q277" s="602">
        <v>0</v>
      </c>
      <c r="R277" s="602">
        <v>903</v>
      </c>
      <c r="S277" s="602">
        <v>1395</v>
      </c>
      <c r="T277" s="602">
        <v>3255</v>
      </c>
      <c r="U277" s="602">
        <v>4658</v>
      </c>
      <c r="V277" s="602">
        <v>0</v>
      </c>
      <c r="X277" s="599">
        <f t="shared" si="91"/>
        <v>0</v>
      </c>
      <c r="Y277" s="599">
        <f t="shared" si="91"/>
        <v>0</v>
      </c>
      <c r="Z277" s="599">
        <f t="shared" si="91"/>
        <v>0</v>
      </c>
      <c r="AA277" s="599">
        <f t="shared" si="91"/>
        <v>0</v>
      </c>
      <c r="AB277" s="599">
        <f t="shared" si="91"/>
        <v>0</v>
      </c>
      <c r="AC277" s="599">
        <f t="shared" si="91"/>
        <v>0</v>
      </c>
      <c r="AE277" s="602">
        <f t="shared" si="92"/>
        <v>0</v>
      </c>
      <c r="AF277" s="602">
        <f t="shared" si="92"/>
        <v>0</v>
      </c>
      <c r="AG277" s="602">
        <f t="shared" si="92"/>
        <v>0</v>
      </c>
      <c r="AH277" s="602">
        <f t="shared" si="92"/>
        <v>0</v>
      </c>
      <c r="AI277" s="602">
        <f t="shared" si="92"/>
        <v>0</v>
      </c>
      <c r="AJ277" s="602">
        <f t="shared" si="92"/>
        <v>0</v>
      </c>
    </row>
    <row r="278" spans="2:36" s="605" customFormat="1">
      <c r="B278" s="604"/>
      <c r="C278" s="604"/>
      <c r="D278" s="604"/>
      <c r="E278" s="604"/>
      <c r="F278" s="604"/>
      <c r="G278" s="604"/>
      <c r="I278" s="604"/>
      <c r="J278" s="604"/>
      <c r="K278" s="604"/>
      <c r="L278" s="604"/>
      <c r="M278" s="604"/>
      <c r="N278" s="604"/>
      <c r="O278" s="606"/>
      <c r="P278" s="605">
        <v>35</v>
      </c>
      <c r="Q278" s="607">
        <v>0</v>
      </c>
      <c r="R278" s="607">
        <v>677</v>
      </c>
      <c r="S278" s="607">
        <v>1255</v>
      </c>
      <c r="T278" s="607">
        <v>3016</v>
      </c>
      <c r="U278" s="607">
        <v>5656</v>
      </c>
      <c r="V278" s="607">
        <v>0</v>
      </c>
      <c r="X278" s="605">
        <f t="shared" si="91"/>
        <v>0</v>
      </c>
      <c r="Y278" s="605">
        <f t="shared" si="91"/>
        <v>0</v>
      </c>
      <c r="Z278" s="605">
        <f t="shared" si="91"/>
        <v>0</v>
      </c>
      <c r="AA278" s="605">
        <f t="shared" ref="AA278:AC341" si="93">E278*T278</f>
        <v>0</v>
      </c>
      <c r="AB278" s="605">
        <f t="shared" si="93"/>
        <v>0</v>
      </c>
      <c r="AC278" s="605">
        <f t="shared" si="93"/>
        <v>0</v>
      </c>
      <c r="AE278" s="607">
        <f t="shared" si="92"/>
        <v>0</v>
      </c>
      <c r="AF278" s="607">
        <f t="shared" si="92"/>
        <v>0</v>
      </c>
      <c r="AG278" s="607">
        <f t="shared" si="92"/>
        <v>0</v>
      </c>
      <c r="AH278" s="607">
        <f t="shared" ref="AH278:AJ341" si="94">L278*T278</f>
        <v>0</v>
      </c>
      <c r="AI278" s="607">
        <f t="shared" si="94"/>
        <v>0</v>
      </c>
      <c r="AJ278" s="607">
        <f t="shared" si="94"/>
        <v>0</v>
      </c>
    </row>
    <row r="279" spans="2:36">
      <c r="B279" s="597"/>
      <c r="C279" s="597"/>
      <c r="D279" s="597"/>
      <c r="E279" s="597"/>
      <c r="F279" s="597"/>
      <c r="G279" s="597"/>
      <c r="I279" s="597"/>
      <c r="J279" s="597"/>
      <c r="K279" s="597"/>
      <c r="L279" s="597"/>
      <c r="M279" s="597"/>
      <c r="N279" s="597"/>
      <c r="O279" s="598"/>
      <c r="P279" s="90">
        <v>35</v>
      </c>
      <c r="Q279" s="71">
        <v>0</v>
      </c>
      <c r="R279" s="71">
        <v>677</v>
      </c>
      <c r="S279" s="71">
        <v>1255</v>
      </c>
      <c r="T279" s="71">
        <v>3016</v>
      </c>
      <c r="U279" s="71">
        <v>5656</v>
      </c>
      <c r="V279" s="71">
        <v>0</v>
      </c>
      <c r="X279" s="90">
        <f t="shared" ref="X279:AC342" si="95">B279*Q279</f>
        <v>0</v>
      </c>
      <c r="Y279" s="90">
        <f t="shared" si="95"/>
        <v>0</v>
      </c>
      <c r="Z279" s="90">
        <f t="shared" si="95"/>
        <v>0</v>
      </c>
      <c r="AA279" s="90">
        <f t="shared" si="93"/>
        <v>0</v>
      </c>
      <c r="AB279" s="90">
        <f t="shared" si="93"/>
        <v>0</v>
      </c>
      <c r="AC279" s="90">
        <f t="shared" si="93"/>
        <v>0</v>
      </c>
      <c r="AE279" s="71">
        <f t="shared" ref="AE279:AJ342" si="96">I279*Q279</f>
        <v>0</v>
      </c>
      <c r="AF279" s="71">
        <f t="shared" si="96"/>
        <v>0</v>
      </c>
      <c r="AG279" s="71">
        <f t="shared" si="96"/>
        <v>0</v>
      </c>
      <c r="AH279" s="71">
        <f t="shared" si="94"/>
        <v>0</v>
      </c>
      <c r="AI279" s="71">
        <f t="shared" si="94"/>
        <v>0</v>
      </c>
      <c r="AJ279" s="71">
        <f t="shared" si="94"/>
        <v>0</v>
      </c>
    </row>
    <row r="280" spans="2:36">
      <c r="B280" s="597"/>
      <c r="C280" s="597"/>
      <c r="D280" s="597"/>
      <c r="E280" s="597"/>
      <c r="F280" s="597"/>
      <c r="G280" s="597"/>
      <c r="I280" s="597"/>
      <c r="J280" s="597"/>
      <c r="K280" s="597"/>
      <c r="L280" s="597"/>
      <c r="M280" s="597"/>
      <c r="N280" s="597"/>
      <c r="O280" s="598"/>
      <c r="P280" s="90">
        <v>35</v>
      </c>
      <c r="Q280" s="71">
        <v>0</v>
      </c>
      <c r="R280" s="71">
        <v>677</v>
      </c>
      <c r="S280" s="71">
        <v>1255</v>
      </c>
      <c r="T280" s="71">
        <v>3016</v>
      </c>
      <c r="U280" s="71">
        <v>5656</v>
      </c>
      <c r="V280" s="71">
        <v>0</v>
      </c>
      <c r="X280" s="90">
        <f t="shared" si="95"/>
        <v>0</v>
      </c>
      <c r="Y280" s="90">
        <f t="shared" si="95"/>
        <v>0</v>
      </c>
      <c r="Z280" s="90">
        <f t="shared" si="95"/>
        <v>0</v>
      </c>
      <c r="AA280" s="90">
        <f t="shared" si="93"/>
        <v>0</v>
      </c>
      <c r="AB280" s="90">
        <f t="shared" si="93"/>
        <v>0</v>
      </c>
      <c r="AC280" s="90">
        <f t="shared" si="93"/>
        <v>0</v>
      </c>
      <c r="AE280" s="71">
        <f t="shared" si="96"/>
        <v>0</v>
      </c>
      <c r="AF280" s="71">
        <f t="shared" si="96"/>
        <v>0</v>
      </c>
      <c r="AG280" s="71">
        <f t="shared" si="96"/>
        <v>0</v>
      </c>
      <c r="AH280" s="71">
        <f t="shared" si="94"/>
        <v>0</v>
      </c>
      <c r="AI280" s="71">
        <f t="shared" si="94"/>
        <v>0</v>
      </c>
      <c r="AJ280" s="71">
        <f t="shared" si="94"/>
        <v>0</v>
      </c>
    </row>
    <row r="281" spans="2:36">
      <c r="B281" s="597"/>
      <c r="C281" s="597"/>
      <c r="D281" s="597"/>
      <c r="E281" s="597"/>
      <c r="F281" s="597"/>
      <c r="G281" s="597"/>
      <c r="I281" s="597"/>
      <c r="J281" s="597"/>
      <c r="K281" s="597"/>
      <c r="L281" s="597"/>
      <c r="M281" s="597"/>
      <c r="N281" s="597"/>
      <c r="O281" s="598"/>
      <c r="P281" s="90">
        <v>35</v>
      </c>
      <c r="Q281" s="71">
        <v>0</v>
      </c>
      <c r="R281" s="71">
        <v>677</v>
      </c>
      <c r="S281" s="71">
        <v>1255</v>
      </c>
      <c r="T281" s="71">
        <v>3016</v>
      </c>
      <c r="U281" s="71">
        <v>5656</v>
      </c>
      <c r="V281" s="71">
        <v>0</v>
      </c>
      <c r="X281" s="90">
        <f t="shared" si="95"/>
        <v>0</v>
      </c>
      <c r="Y281" s="90">
        <f t="shared" si="95"/>
        <v>0</v>
      </c>
      <c r="Z281" s="90">
        <f t="shared" si="95"/>
        <v>0</v>
      </c>
      <c r="AA281" s="90">
        <f t="shared" si="93"/>
        <v>0</v>
      </c>
      <c r="AB281" s="90">
        <f t="shared" si="93"/>
        <v>0</v>
      </c>
      <c r="AC281" s="90">
        <f t="shared" si="93"/>
        <v>0</v>
      </c>
      <c r="AE281" s="71">
        <f t="shared" si="96"/>
        <v>0</v>
      </c>
      <c r="AF281" s="71">
        <f t="shared" si="96"/>
        <v>0</v>
      </c>
      <c r="AG281" s="71">
        <f t="shared" si="96"/>
        <v>0</v>
      </c>
      <c r="AH281" s="71">
        <f t="shared" si="94"/>
        <v>0</v>
      </c>
      <c r="AI281" s="71">
        <f t="shared" si="94"/>
        <v>0</v>
      </c>
      <c r="AJ281" s="71">
        <f t="shared" si="94"/>
        <v>0</v>
      </c>
    </row>
    <row r="282" spans="2:36">
      <c r="B282" s="597"/>
      <c r="C282" s="597"/>
      <c r="D282" s="597"/>
      <c r="E282" s="597"/>
      <c r="F282" s="597"/>
      <c r="G282" s="597"/>
      <c r="I282" s="597"/>
      <c r="J282" s="597"/>
      <c r="K282" s="597"/>
      <c r="L282" s="597"/>
      <c r="M282" s="597"/>
      <c r="N282" s="597"/>
      <c r="O282" s="598"/>
      <c r="P282" s="90">
        <v>35</v>
      </c>
      <c r="Q282" s="71">
        <v>0</v>
      </c>
      <c r="R282" s="71">
        <v>677</v>
      </c>
      <c r="S282" s="71">
        <v>1255</v>
      </c>
      <c r="T282" s="71">
        <v>3016</v>
      </c>
      <c r="U282" s="71">
        <v>5656</v>
      </c>
      <c r="V282" s="71">
        <v>0</v>
      </c>
      <c r="X282" s="90">
        <f t="shared" si="95"/>
        <v>0</v>
      </c>
      <c r="Y282" s="90">
        <f t="shared" si="95"/>
        <v>0</v>
      </c>
      <c r="Z282" s="90">
        <f t="shared" si="95"/>
        <v>0</v>
      </c>
      <c r="AA282" s="90">
        <f t="shared" si="93"/>
        <v>0</v>
      </c>
      <c r="AB282" s="90">
        <f t="shared" si="93"/>
        <v>0</v>
      </c>
      <c r="AC282" s="90">
        <f t="shared" si="93"/>
        <v>0</v>
      </c>
      <c r="AE282" s="71">
        <f t="shared" si="96"/>
        <v>0</v>
      </c>
      <c r="AF282" s="71">
        <f t="shared" si="96"/>
        <v>0</v>
      </c>
      <c r="AG282" s="71">
        <f t="shared" si="96"/>
        <v>0</v>
      </c>
      <c r="AH282" s="71">
        <f t="shared" si="94"/>
        <v>0</v>
      </c>
      <c r="AI282" s="71">
        <f t="shared" si="94"/>
        <v>0</v>
      </c>
      <c r="AJ282" s="71">
        <f t="shared" si="94"/>
        <v>0</v>
      </c>
    </row>
    <row r="283" spans="2:36">
      <c r="B283" s="597"/>
      <c r="C283" s="597"/>
      <c r="D283" s="597"/>
      <c r="E283" s="597"/>
      <c r="F283" s="597"/>
      <c r="G283" s="597"/>
      <c r="I283" s="597"/>
      <c r="J283" s="597"/>
      <c r="K283" s="597"/>
      <c r="L283" s="597"/>
      <c r="M283" s="597"/>
      <c r="N283" s="597"/>
      <c r="O283" s="598"/>
      <c r="P283" s="90">
        <v>35</v>
      </c>
      <c r="Q283" s="71">
        <v>0</v>
      </c>
      <c r="R283" s="71">
        <v>677</v>
      </c>
      <c r="S283" s="71">
        <v>1255</v>
      </c>
      <c r="T283" s="71">
        <v>3016</v>
      </c>
      <c r="U283" s="71">
        <v>5656</v>
      </c>
      <c r="V283" s="71">
        <v>0</v>
      </c>
      <c r="X283" s="90">
        <f t="shared" si="95"/>
        <v>0</v>
      </c>
      <c r="Y283" s="90">
        <f t="shared" si="95"/>
        <v>0</v>
      </c>
      <c r="Z283" s="90">
        <f t="shared" si="95"/>
        <v>0</v>
      </c>
      <c r="AA283" s="90">
        <f t="shared" si="93"/>
        <v>0</v>
      </c>
      <c r="AB283" s="90">
        <f t="shared" si="93"/>
        <v>0</v>
      </c>
      <c r="AC283" s="90">
        <f t="shared" si="93"/>
        <v>0</v>
      </c>
      <c r="AE283" s="71">
        <f t="shared" si="96"/>
        <v>0</v>
      </c>
      <c r="AF283" s="71">
        <f t="shared" si="96"/>
        <v>0</v>
      </c>
      <c r="AG283" s="71">
        <f t="shared" si="96"/>
        <v>0</v>
      </c>
      <c r="AH283" s="71">
        <f t="shared" si="94"/>
        <v>0</v>
      </c>
      <c r="AI283" s="71">
        <f t="shared" si="94"/>
        <v>0</v>
      </c>
      <c r="AJ283" s="71">
        <f t="shared" si="94"/>
        <v>0</v>
      </c>
    </row>
    <row r="284" spans="2:36">
      <c r="B284" s="597"/>
      <c r="C284" s="597"/>
      <c r="D284" s="597"/>
      <c r="E284" s="597"/>
      <c r="F284" s="597"/>
      <c r="G284" s="597"/>
      <c r="I284" s="597"/>
      <c r="J284" s="597"/>
      <c r="K284" s="597"/>
      <c r="L284" s="597"/>
      <c r="M284" s="597"/>
      <c r="N284" s="597"/>
      <c r="O284" s="598"/>
      <c r="P284" s="90">
        <v>35</v>
      </c>
      <c r="Q284" s="71">
        <v>0</v>
      </c>
      <c r="R284" s="71">
        <v>677</v>
      </c>
      <c r="S284" s="71">
        <v>1255</v>
      </c>
      <c r="T284" s="71">
        <v>3016</v>
      </c>
      <c r="U284" s="71">
        <v>5656</v>
      </c>
      <c r="V284" s="71">
        <v>0</v>
      </c>
      <c r="X284" s="90">
        <f t="shared" si="95"/>
        <v>0</v>
      </c>
      <c r="Y284" s="90">
        <f t="shared" si="95"/>
        <v>0</v>
      </c>
      <c r="Z284" s="90">
        <f t="shared" si="95"/>
        <v>0</v>
      </c>
      <c r="AA284" s="90">
        <f t="shared" si="93"/>
        <v>0</v>
      </c>
      <c r="AB284" s="90">
        <f t="shared" si="93"/>
        <v>0</v>
      </c>
      <c r="AC284" s="90">
        <f t="shared" si="93"/>
        <v>0</v>
      </c>
      <c r="AE284" s="71">
        <f t="shared" si="96"/>
        <v>0</v>
      </c>
      <c r="AF284" s="71">
        <f t="shared" si="96"/>
        <v>0</v>
      </c>
      <c r="AG284" s="71">
        <f t="shared" si="96"/>
        <v>0</v>
      </c>
      <c r="AH284" s="71">
        <f t="shared" si="94"/>
        <v>0</v>
      </c>
      <c r="AI284" s="71">
        <f t="shared" si="94"/>
        <v>0</v>
      </c>
      <c r="AJ284" s="71">
        <f t="shared" si="94"/>
        <v>0</v>
      </c>
    </row>
    <row r="285" spans="2:36" s="599" customFormat="1">
      <c r="B285" s="600"/>
      <c r="C285" s="600"/>
      <c r="D285" s="600"/>
      <c r="E285" s="600"/>
      <c r="F285" s="600"/>
      <c r="G285" s="600"/>
      <c r="I285" s="600"/>
      <c r="J285" s="600"/>
      <c r="K285" s="600"/>
      <c r="L285" s="600"/>
      <c r="M285" s="600"/>
      <c r="N285" s="600"/>
      <c r="O285" s="601"/>
      <c r="P285" s="599">
        <v>35</v>
      </c>
      <c r="Q285" s="602">
        <v>0</v>
      </c>
      <c r="R285" s="602">
        <v>677</v>
      </c>
      <c r="S285" s="602">
        <v>1255</v>
      </c>
      <c r="T285" s="602">
        <v>3016</v>
      </c>
      <c r="U285" s="602">
        <v>5656</v>
      </c>
      <c r="V285" s="602">
        <v>0</v>
      </c>
      <c r="X285" s="599">
        <f t="shared" si="95"/>
        <v>0</v>
      </c>
      <c r="Y285" s="599">
        <f t="shared" si="95"/>
        <v>0</v>
      </c>
      <c r="Z285" s="599">
        <f t="shared" si="95"/>
        <v>0</v>
      </c>
      <c r="AA285" s="599">
        <f t="shared" si="93"/>
        <v>0</v>
      </c>
      <c r="AB285" s="599">
        <f t="shared" si="93"/>
        <v>0</v>
      </c>
      <c r="AC285" s="599">
        <f t="shared" si="93"/>
        <v>0</v>
      </c>
      <c r="AE285" s="602">
        <f t="shared" si="96"/>
        <v>0</v>
      </c>
      <c r="AF285" s="602">
        <f t="shared" si="96"/>
        <v>0</v>
      </c>
      <c r="AG285" s="602">
        <f t="shared" si="96"/>
        <v>0</v>
      </c>
      <c r="AH285" s="602">
        <f t="shared" si="94"/>
        <v>0</v>
      </c>
      <c r="AI285" s="602">
        <f t="shared" si="94"/>
        <v>0</v>
      </c>
      <c r="AJ285" s="602">
        <f t="shared" si="94"/>
        <v>0</v>
      </c>
    </row>
    <row r="286" spans="2:36" s="605" customFormat="1">
      <c r="B286" s="604"/>
      <c r="C286" s="604"/>
      <c r="D286" s="604"/>
      <c r="E286" s="604"/>
      <c r="F286" s="604"/>
      <c r="G286" s="604"/>
      <c r="I286" s="604"/>
      <c r="J286" s="604"/>
      <c r="K286" s="604"/>
      <c r="L286" s="604"/>
      <c r="M286" s="604"/>
      <c r="N286" s="604"/>
      <c r="O286" s="606"/>
      <c r="P286" s="605">
        <v>36</v>
      </c>
      <c r="Q286" s="607">
        <v>0</v>
      </c>
      <c r="R286" s="607">
        <v>59880</v>
      </c>
      <c r="S286" s="607">
        <v>105403</v>
      </c>
      <c r="T286" s="607">
        <v>150632</v>
      </c>
      <c r="U286" s="607">
        <v>191619</v>
      </c>
      <c r="V286" s="607">
        <v>0</v>
      </c>
      <c r="X286" s="605">
        <f t="shared" si="95"/>
        <v>0</v>
      </c>
      <c r="Y286" s="605">
        <f t="shared" si="95"/>
        <v>0</v>
      </c>
      <c r="Z286" s="605">
        <f t="shared" si="95"/>
        <v>0</v>
      </c>
      <c r="AA286" s="605">
        <f t="shared" si="93"/>
        <v>0</v>
      </c>
      <c r="AB286" s="605">
        <f t="shared" si="93"/>
        <v>0</v>
      </c>
      <c r="AC286" s="605">
        <f t="shared" si="93"/>
        <v>0</v>
      </c>
      <c r="AE286" s="607">
        <f t="shared" si="96"/>
        <v>0</v>
      </c>
      <c r="AF286" s="607">
        <f t="shared" si="96"/>
        <v>0</v>
      </c>
      <c r="AG286" s="607">
        <f t="shared" si="96"/>
        <v>0</v>
      </c>
      <c r="AH286" s="607">
        <f t="shared" si="94"/>
        <v>0</v>
      </c>
      <c r="AI286" s="607">
        <f t="shared" si="94"/>
        <v>0</v>
      </c>
      <c r="AJ286" s="607">
        <f t="shared" si="94"/>
        <v>0</v>
      </c>
    </row>
    <row r="287" spans="2:36">
      <c r="B287" s="597"/>
      <c r="C287" s="597"/>
      <c r="D287" s="597"/>
      <c r="E287" s="597"/>
      <c r="F287" s="597"/>
      <c r="G287" s="597"/>
      <c r="I287" s="597"/>
      <c r="J287" s="597"/>
      <c r="K287" s="597"/>
      <c r="L287" s="597"/>
      <c r="M287" s="597"/>
      <c r="N287" s="597"/>
      <c r="O287" s="598"/>
      <c r="P287" s="90">
        <v>36</v>
      </c>
      <c r="Q287" s="71">
        <v>0</v>
      </c>
      <c r="R287" s="71">
        <v>59880</v>
      </c>
      <c r="S287" s="71">
        <v>105403</v>
      </c>
      <c r="T287" s="71">
        <v>150632</v>
      </c>
      <c r="U287" s="71">
        <v>191619</v>
      </c>
      <c r="V287" s="71">
        <v>0</v>
      </c>
      <c r="X287" s="90">
        <f t="shared" si="95"/>
        <v>0</v>
      </c>
      <c r="Y287" s="90">
        <f t="shared" si="95"/>
        <v>0</v>
      </c>
      <c r="Z287" s="90">
        <f t="shared" si="95"/>
        <v>0</v>
      </c>
      <c r="AA287" s="90">
        <f t="shared" si="93"/>
        <v>0</v>
      </c>
      <c r="AB287" s="90">
        <f t="shared" si="93"/>
        <v>0</v>
      </c>
      <c r="AC287" s="90">
        <f t="shared" si="93"/>
        <v>0</v>
      </c>
      <c r="AE287" s="71">
        <f t="shared" si="96"/>
        <v>0</v>
      </c>
      <c r="AF287" s="71">
        <f t="shared" si="96"/>
        <v>0</v>
      </c>
      <c r="AG287" s="71">
        <f t="shared" si="96"/>
        <v>0</v>
      </c>
      <c r="AH287" s="71">
        <f t="shared" si="94"/>
        <v>0</v>
      </c>
      <c r="AI287" s="71">
        <f t="shared" si="94"/>
        <v>0</v>
      </c>
      <c r="AJ287" s="71">
        <f t="shared" si="94"/>
        <v>0</v>
      </c>
    </row>
    <row r="288" spans="2:36">
      <c r="B288" s="597"/>
      <c r="C288" s="597"/>
      <c r="D288" s="597"/>
      <c r="E288" s="597"/>
      <c r="F288" s="597"/>
      <c r="G288" s="597"/>
      <c r="I288" s="597"/>
      <c r="J288" s="597"/>
      <c r="K288" s="597"/>
      <c r="L288" s="597"/>
      <c r="M288" s="597"/>
      <c r="N288" s="597"/>
      <c r="O288" s="598"/>
      <c r="P288" s="90">
        <v>36</v>
      </c>
      <c r="Q288" s="71">
        <v>0</v>
      </c>
      <c r="R288" s="71">
        <v>59880</v>
      </c>
      <c r="S288" s="71">
        <v>105403</v>
      </c>
      <c r="T288" s="71">
        <v>150632</v>
      </c>
      <c r="U288" s="71">
        <v>191619</v>
      </c>
      <c r="V288" s="71">
        <v>0</v>
      </c>
      <c r="X288" s="90">
        <f t="shared" si="95"/>
        <v>0</v>
      </c>
      <c r="Y288" s="90">
        <f t="shared" si="95"/>
        <v>0</v>
      </c>
      <c r="Z288" s="90">
        <f t="shared" si="95"/>
        <v>0</v>
      </c>
      <c r="AA288" s="90">
        <f t="shared" si="93"/>
        <v>0</v>
      </c>
      <c r="AB288" s="90">
        <f t="shared" si="93"/>
        <v>0</v>
      </c>
      <c r="AC288" s="90">
        <f t="shared" si="93"/>
        <v>0</v>
      </c>
      <c r="AE288" s="71">
        <f t="shared" si="96"/>
        <v>0</v>
      </c>
      <c r="AF288" s="71">
        <f t="shared" si="96"/>
        <v>0</v>
      </c>
      <c r="AG288" s="71">
        <f t="shared" si="96"/>
        <v>0</v>
      </c>
      <c r="AH288" s="71">
        <f t="shared" si="94"/>
        <v>0</v>
      </c>
      <c r="AI288" s="71">
        <f t="shared" si="94"/>
        <v>0</v>
      </c>
      <c r="AJ288" s="71">
        <f t="shared" si="94"/>
        <v>0</v>
      </c>
    </row>
    <row r="289" spans="2:36">
      <c r="B289" s="597"/>
      <c r="C289" s="597"/>
      <c r="D289" s="597"/>
      <c r="E289" s="597"/>
      <c r="F289" s="597"/>
      <c r="G289" s="597"/>
      <c r="I289" s="597"/>
      <c r="J289" s="597"/>
      <c r="K289" s="597"/>
      <c r="L289" s="597"/>
      <c r="M289" s="597"/>
      <c r="N289" s="597"/>
      <c r="O289" s="598"/>
      <c r="P289" s="90">
        <v>36</v>
      </c>
      <c r="Q289" s="71">
        <v>0</v>
      </c>
      <c r="R289" s="71">
        <v>59880</v>
      </c>
      <c r="S289" s="71">
        <v>105403</v>
      </c>
      <c r="T289" s="71">
        <v>150632</v>
      </c>
      <c r="U289" s="71">
        <v>191619</v>
      </c>
      <c r="V289" s="71">
        <v>0</v>
      </c>
      <c r="X289" s="90">
        <f t="shared" si="95"/>
        <v>0</v>
      </c>
      <c r="Y289" s="90">
        <f t="shared" si="95"/>
        <v>0</v>
      </c>
      <c r="Z289" s="90">
        <f t="shared" si="95"/>
        <v>0</v>
      </c>
      <c r="AA289" s="90">
        <f t="shared" si="93"/>
        <v>0</v>
      </c>
      <c r="AB289" s="90">
        <f t="shared" si="93"/>
        <v>0</v>
      </c>
      <c r="AC289" s="90">
        <f t="shared" si="93"/>
        <v>0</v>
      </c>
      <c r="AE289" s="71">
        <f t="shared" si="96"/>
        <v>0</v>
      </c>
      <c r="AF289" s="71">
        <f t="shared" si="96"/>
        <v>0</v>
      </c>
      <c r="AG289" s="71">
        <f t="shared" si="96"/>
        <v>0</v>
      </c>
      <c r="AH289" s="71">
        <f t="shared" si="94"/>
        <v>0</v>
      </c>
      <c r="AI289" s="71">
        <f t="shared" si="94"/>
        <v>0</v>
      </c>
      <c r="AJ289" s="71">
        <f t="shared" si="94"/>
        <v>0</v>
      </c>
    </row>
    <row r="290" spans="2:36">
      <c r="B290" s="597"/>
      <c r="C290" s="597"/>
      <c r="D290" s="597"/>
      <c r="E290" s="597"/>
      <c r="F290" s="597"/>
      <c r="G290" s="597"/>
      <c r="I290" s="597"/>
      <c r="J290" s="597"/>
      <c r="K290" s="597"/>
      <c r="L290" s="597"/>
      <c r="M290" s="597"/>
      <c r="N290" s="597"/>
      <c r="O290" s="598"/>
      <c r="P290" s="90">
        <v>36</v>
      </c>
      <c r="Q290" s="71">
        <v>0</v>
      </c>
      <c r="R290" s="71">
        <v>59880</v>
      </c>
      <c r="S290" s="71">
        <v>105403</v>
      </c>
      <c r="T290" s="71">
        <v>150632</v>
      </c>
      <c r="U290" s="71">
        <v>191619</v>
      </c>
      <c r="V290" s="71">
        <v>0</v>
      </c>
      <c r="X290" s="90">
        <f t="shared" si="95"/>
        <v>0</v>
      </c>
      <c r="Y290" s="90">
        <f t="shared" si="95"/>
        <v>0</v>
      </c>
      <c r="Z290" s="90">
        <f t="shared" si="95"/>
        <v>0</v>
      </c>
      <c r="AA290" s="90">
        <f t="shared" si="93"/>
        <v>0</v>
      </c>
      <c r="AB290" s="90">
        <f t="shared" si="93"/>
        <v>0</v>
      </c>
      <c r="AC290" s="90">
        <f t="shared" si="93"/>
        <v>0</v>
      </c>
      <c r="AE290" s="71">
        <f t="shared" si="96"/>
        <v>0</v>
      </c>
      <c r="AF290" s="71">
        <f t="shared" si="96"/>
        <v>0</v>
      </c>
      <c r="AG290" s="71">
        <f t="shared" si="96"/>
        <v>0</v>
      </c>
      <c r="AH290" s="71">
        <f t="shared" si="94"/>
        <v>0</v>
      </c>
      <c r="AI290" s="71">
        <f t="shared" si="94"/>
        <v>0</v>
      </c>
      <c r="AJ290" s="71">
        <f t="shared" si="94"/>
        <v>0</v>
      </c>
    </row>
    <row r="291" spans="2:36">
      <c r="B291" s="597"/>
      <c r="C291" s="597"/>
      <c r="D291" s="597"/>
      <c r="E291" s="597"/>
      <c r="F291" s="597"/>
      <c r="G291" s="597"/>
      <c r="I291" s="597"/>
      <c r="J291" s="597"/>
      <c r="K291" s="597"/>
      <c r="L291" s="597"/>
      <c r="M291" s="597"/>
      <c r="N291" s="597"/>
      <c r="O291" s="598"/>
      <c r="P291" s="90">
        <v>36</v>
      </c>
      <c r="Q291" s="71">
        <v>0</v>
      </c>
      <c r="R291" s="71">
        <v>59880</v>
      </c>
      <c r="S291" s="71">
        <v>105403</v>
      </c>
      <c r="T291" s="71">
        <v>150632</v>
      </c>
      <c r="U291" s="71">
        <v>191619</v>
      </c>
      <c r="V291" s="71">
        <v>0</v>
      </c>
      <c r="X291" s="90">
        <f t="shared" si="95"/>
        <v>0</v>
      </c>
      <c r="Y291" s="90">
        <f t="shared" si="95"/>
        <v>0</v>
      </c>
      <c r="Z291" s="90">
        <f t="shared" si="95"/>
        <v>0</v>
      </c>
      <c r="AA291" s="90">
        <f t="shared" si="93"/>
        <v>0</v>
      </c>
      <c r="AB291" s="90">
        <f t="shared" si="93"/>
        <v>0</v>
      </c>
      <c r="AC291" s="90">
        <f t="shared" si="93"/>
        <v>0</v>
      </c>
      <c r="AE291" s="71">
        <f t="shared" si="96"/>
        <v>0</v>
      </c>
      <c r="AF291" s="71">
        <f t="shared" si="96"/>
        <v>0</v>
      </c>
      <c r="AG291" s="71">
        <f t="shared" si="96"/>
        <v>0</v>
      </c>
      <c r="AH291" s="71">
        <f t="shared" si="94"/>
        <v>0</v>
      </c>
      <c r="AI291" s="71">
        <f t="shared" si="94"/>
        <v>0</v>
      </c>
      <c r="AJ291" s="71">
        <f t="shared" si="94"/>
        <v>0</v>
      </c>
    </row>
    <row r="292" spans="2:36">
      <c r="B292" s="597"/>
      <c r="C292" s="597"/>
      <c r="D292" s="597"/>
      <c r="E292" s="597"/>
      <c r="F292" s="597"/>
      <c r="G292" s="597"/>
      <c r="I292" s="597"/>
      <c r="J292" s="597"/>
      <c r="K292" s="597"/>
      <c r="L292" s="597"/>
      <c r="M292" s="597"/>
      <c r="N292" s="597"/>
      <c r="O292" s="598"/>
      <c r="P292" s="90">
        <v>36</v>
      </c>
      <c r="Q292" s="71">
        <v>0</v>
      </c>
      <c r="R292" s="71">
        <v>59880</v>
      </c>
      <c r="S292" s="71">
        <v>105403</v>
      </c>
      <c r="T292" s="71">
        <v>150632</v>
      </c>
      <c r="U292" s="71">
        <v>191619</v>
      </c>
      <c r="V292" s="71">
        <v>0</v>
      </c>
      <c r="X292" s="90">
        <f t="shared" si="95"/>
        <v>0</v>
      </c>
      <c r="Y292" s="90">
        <f t="shared" si="95"/>
        <v>0</v>
      </c>
      <c r="Z292" s="90">
        <f t="shared" si="95"/>
        <v>0</v>
      </c>
      <c r="AA292" s="90">
        <f t="shared" si="93"/>
        <v>0</v>
      </c>
      <c r="AB292" s="90">
        <f t="shared" si="93"/>
        <v>0</v>
      </c>
      <c r="AC292" s="90">
        <f t="shared" si="93"/>
        <v>0</v>
      </c>
      <c r="AE292" s="71">
        <f t="shared" si="96"/>
        <v>0</v>
      </c>
      <c r="AF292" s="71">
        <f t="shared" si="96"/>
        <v>0</v>
      </c>
      <c r="AG292" s="71">
        <f t="shared" si="96"/>
        <v>0</v>
      </c>
      <c r="AH292" s="71">
        <f t="shared" si="94"/>
        <v>0</v>
      </c>
      <c r="AI292" s="71">
        <f t="shared" si="94"/>
        <v>0</v>
      </c>
      <c r="AJ292" s="71">
        <f t="shared" si="94"/>
        <v>0</v>
      </c>
    </row>
    <row r="293" spans="2:36" s="599" customFormat="1">
      <c r="B293" s="600"/>
      <c r="C293" s="600"/>
      <c r="D293" s="600"/>
      <c r="E293" s="600"/>
      <c r="F293" s="600"/>
      <c r="G293" s="600"/>
      <c r="I293" s="600"/>
      <c r="J293" s="600"/>
      <c r="K293" s="600"/>
      <c r="L293" s="600"/>
      <c r="M293" s="600"/>
      <c r="N293" s="600"/>
      <c r="O293" s="601"/>
      <c r="P293" s="599">
        <v>36</v>
      </c>
      <c r="Q293" s="602">
        <v>0</v>
      </c>
      <c r="R293" s="602">
        <v>59880</v>
      </c>
      <c r="S293" s="602">
        <v>105403</v>
      </c>
      <c r="T293" s="602">
        <v>150632</v>
      </c>
      <c r="U293" s="602">
        <v>191619</v>
      </c>
      <c r="V293" s="602">
        <v>0</v>
      </c>
      <c r="X293" s="599">
        <f t="shared" si="95"/>
        <v>0</v>
      </c>
      <c r="Y293" s="599">
        <f t="shared" si="95"/>
        <v>0</v>
      </c>
      <c r="Z293" s="599">
        <f t="shared" si="95"/>
        <v>0</v>
      </c>
      <c r="AA293" s="599">
        <f t="shared" si="93"/>
        <v>0</v>
      </c>
      <c r="AB293" s="599">
        <f t="shared" si="93"/>
        <v>0</v>
      </c>
      <c r="AC293" s="599">
        <f t="shared" si="93"/>
        <v>0</v>
      </c>
      <c r="AE293" s="602">
        <f t="shared" si="96"/>
        <v>0</v>
      </c>
      <c r="AF293" s="602">
        <f t="shared" si="96"/>
        <v>0</v>
      </c>
      <c r="AG293" s="602">
        <f t="shared" si="96"/>
        <v>0</v>
      </c>
      <c r="AH293" s="602">
        <f t="shared" si="94"/>
        <v>0</v>
      </c>
      <c r="AI293" s="602">
        <f t="shared" si="94"/>
        <v>0</v>
      </c>
      <c r="AJ293" s="602">
        <f t="shared" si="94"/>
        <v>0</v>
      </c>
    </row>
    <row r="294" spans="2:36" s="605" customFormat="1">
      <c r="B294" s="604"/>
      <c r="C294" s="604"/>
      <c r="D294" s="604"/>
      <c r="E294" s="604"/>
      <c r="F294" s="604"/>
      <c r="G294" s="604"/>
      <c r="I294" s="604"/>
      <c r="J294" s="604"/>
      <c r="K294" s="604"/>
      <c r="L294" s="604"/>
      <c r="M294" s="604"/>
      <c r="N294" s="604"/>
      <c r="O294" s="606"/>
      <c r="P294" s="605">
        <v>37</v>
      </c>
      <c r="Q294" s="607">
        <v>0</v>
      </c>
      <c r="R294" s="607">
        <v>0</v>
      </c>
      <c r="S294" s="607">
        <v>0</v>
      </c>
      <c r="T294" s="607">
        <v>0</v>
      </c>
      <c r="U294" s="607">
        <v>0</v>
      </c>
      <c r="V294" s="607">
        <v>0</v>
      </c>
      <c r="X294" s="605">
        <f t="shared" si="95"/>
        <v>0</v>
      </c>
      <c r="Y294" s="605">
        <f t="shared" si="95"/>
        <v>0</v>
      </c>
      <c r="Z294" s="605">
        <f t="shared" si="95"/>
        <v>0</v>
      </c>
      <c r="AA294" s="605">
        <f t="shared" si="93"/>
        <v>0</v>
      </c>
      <c r="AB294" s="605">
        <f t="shared" si="93"/>
        <v>0</v>
      </c>
      <c r="AC294" s="605">
        <f t="shared" si="93"/>
        <v>0</v>
      </c>
      <c r="AE294" s="607">
        <f t="shared" si="96"/>
        <v>0</v>
      </c>
      <c r="AF294" s="607">
        <f t="shared" si="96"/>
        <v>0</v>
      </c>
      <c r="AG294" s="607">
        <f t="shared" si="96"/>
        <v>0</v>
      </c>
      <c r="AH294" s="607">
        <f t="shared" si="94"/>
        <v>0</v>
      </c>
      <c r="AI294" s="607">
        <f t="shared" si="94"/>
        <v>0</v>
      </c>
      <c r="AJ294" s="607">
        <f t="shared" si="94"/>
        <v>0</v>
      </c>
    </row>
    <row r="295" spans="2:36">
      <c r="B295" s="597"/>
      <c r="C295" s="597"/>
      <c r="D295" s="597"/>
      <c r="E295" s="597"/>
      <c r="F295" s="597"/>
      <c r="G295" s="597"/>
      <c r="I295" s="597"/>
      <c r="J295" s="597"/>
      <c r="K295" s="597"/>
      <c r="L295" s="597"/>
      <c r="M295" s="597"/>
      <c r="N295" s="597"/>
      <c r="O295" s="598"/>
      <c r="P295" s="90">
        <v>37</v>
      </c>
      <c r="Q295" s="71">
        <v>0</v>
      </c>
      <c r="R295" s="71">
        <v>0</v>
      </c>
      <c r="S295" s="71">
        <v>0</v>
      </c>
      <c r="T295" s="71">
        <v>0</v>
      </c>
      <c r="U295" s="71">
        <v>0</v>
      </c>
      <c r="V295" s="71">
        <v>0</v>
      </c>
      <c r="X295" s="90">
        <f t="shared" si="95"/>
        <v>0</v>
      </c>
      <c r="Y295" s="90">
        <f t="shared" si="95"/>
        <v>0</v>
      </c>
      <c r="Z295" s="90">
        <f t="shared" si="95"/>
        <v>0</v>
      </c>
      <c r="AA295" s="90">
        <f t="shared" si="93"/>
        <v>0</v>
      </c>
      <c r="AB295" s="90">
        <f t="shared" si="93"/>
        <v>0</v>
      </c>
      <c r="AC295" s="90">
        <f t="shared" si="93"/>
        <v>0</v>
      </c>
      <c r="AE295" s="71">
        <f t="shared" si="96"/>
        <v>0</v>
      </c>
      <c r="AF295" s="71">
        <f t="shared" si="96"/>
        <v>0</v>
      </c>
      <c r="AG295" s="71">
        <f t="shared" si="96"/>
        <v>0</v>
      </c>
      <c r="AH295" s="71">
        <f t="shared" si="94"/>
        <v>0</v>
      </c>
      <c r="AI295" s="71">
        <f t="shared" si="94"/>
        <v>0</v>
      </c>
      <c r="AJ295" s="71">
        <f t="shared" si="94"/>
        <v>0</v>
      </c>
    </row>
    <row r="296" spans="2:36">
      <c r="B296" s="597"/>
      <c r="C296" s="597"/>
      <c r="D296" s="597"/>
      <c r="E296" s="597"/>
      <c r="F296" s="597"/>
      <c r="G296" s="597"/>
      <c r="I296" s="597"/>
      <c r="J296" s="597"/>
      <c r="K296" s="597"/>
      <c r="L296" s="597"/>
      <c r="M296" s="597"/>
      <c r="N296" s="597"/>
      <c r="O296" s="598"/>
      <c r="P296" s="90">
        <v>37</v>
      </c>
      <c r="Q296" s="71">
        <v>0</v>
      </c>
      <c r="R296" s="71">
        <v>0</v>
      </c>
      <c r="S296" s="71">
        <v>0</v>
      </c>
      <c r="T296" s="71">
        <v>0</v>
      </c>
      <c r="U296" s="71">
        <v>0</v>
      </c>
      <c r="V296" s="71">
        <v>0</v>
      </c>
      <c r="X296" s="90">
        <f t="shared" si="95"/>
        <v>0</v>
      </c>
      <c r="Y296" s="90">
        <f t="shared" si="95"/>
        <v>0</v>
      </c>
      <c r="Z296" s="90">
        <f t="shared" si="95"/>
        <v>0</v>
      </c>
      <c r="AA296" s="90">
        <f t="shared" si="93"/>
        <v>0</v>
      </c>
      <c r="AB296" s="90">
        <f t="shared" si="93"/>
        <v>0</v>
      </c>
      <c r="AC296" s="90">
        <f t="shared" si="93"/>
        <v>0</v>
      </c>
      <c r="AE296" s="71">
        <f t="shared" si="96"/>
        <v>0</v>
      </c>
      <c r="AF296" s="71">
        <f t="shared" si="96"/>
        <v>0</v>
      </c>
      <c r="AG296" s="71">
        <f t="shared" si="96"/>
        <v>0</v>
      </c>
      <c r="AH296" s="71">
        <f t="shared" si="94"/>
        <v>0</v>
      </c>
      <c r="AI296" s="71">
        <f t="shared" si="94"/>
        <v>0</v>
      </c>
      <c r="AJ296" s="71">
        <f t="shared" si="94"/>
        <v>0</v>
      </c>
    </row>
    <row r="297" spans="2:36">
      <c r="B297" s="597"/>
      <c r="C297" s="597"/>
      <c r="D297" s="597"/>
      <c r="E297" s="597"/>
      <c r="F297" s="597"/>
      <c r="G297" s="597"/>
      <c r="I297" s="597"/>
      <c r="J297" s="597"/>
      <c r="K297" s="597"/>
      <c r="L297" s="597"/>
      <c r="M297" s="597"/>
      <c r="N297" s="597"/>
      <c r="O297" s="598"/>
      <c r="P297" s="90">
        <v>37</v>
      </c>
      <c r="Q297" s="71">
        <v>0</v>
      </c>
      <c r="R297" s="71">
        <v>0</v>
      </c>
      <c r="S297" s="71">
        <v>0</v>
      </c>
      <c r="T297" s="71">
        <v>0</v>
      </c>
      <c r="U297" s="71">
        <v>0</v>
      </c>
      <c r="V297" s="71">
        <v>0</v>
      </c>
      <c r="X297" s="90">
        <f t="shared" si="95"/>
        <v>0</v>
      </c>
      <c r="Y297" s="90">
        <f t="shared" si="95"/>
        <v>0</v>
      </c>
      <c r="Z297" s="90">
        <f t="shared" si="95"/>
        <v>0</v>
      </c>
      <c r="AA297" s="90">
        <f t="shared" si="93"/>
        <v>0</v>
      </c>
      <c r="AB297" s="90">
        <f t="shared" si="93"/>
        <v>0</v>
      </c>
      <c r="AC297" s="90">
        <f t="shared" si="93"/>
        <v>0</v>
      </c>
      <c r="AE297" s="71">
        <f t="shared" si="96"/>
        <v>0</v>
      </c>
      <c r="AF297" s="71">
        <f t="shared" si="96"/>
        <v>0</v>
      </c>
      <c r="AG297" s="71">
        <f t="shared" si="96"/>
        <v>0</v>
      </c>
      <c r="AH297" s="71">
        <f t="shared" si="94"/>
        <v>0</v>
      </c>
      <c r="AI297" s="71">
        <f t="shared" si="94"/>
        <v>0</v>
      </c>
      <c r="AJ297" s="71">
        <f t="shared" si="94"/>
        <v>0</v>
      </c>
    </row>
    <row r="298" spans="2:36">
      <c r="B298" s="597"/>
      <c r="C298" s="597"/>
      <c r="D298" s="597"/>
      <c r="E298" s="597"/>
      <c r="F298" s="597"/>
      <c r="G298" s="597"/>
      <c r="I298" s="597"/>
      <c r="J298" s="597"/>
      <c r="K298" s="597"/>
      <c r="L298" s="597"/>
      <c r="M298" s="597"/>
      <c r="N298" s="597"/>
      <c r="O298" s="598"/>
      <c r="P298" s="90">
        <v>37</v>
      </c>
      <c r="Q298" s="71">
        <v>0</v>
      </c>
      <c r="R298" s="71">
        <v>0</v>
      </c>
      <c r="S298" s="71">
        <v>0</v>
      </c>
      <c r="T298" s="71">
        <v>0</v>
      </c>
      <c r="U298" s="71">
        <v>0</v>
      </c>
      <c r="V298" s="71">
        <v>0</v>
      </c>
      <c r="X298" s="90">
        <f t="shared" si="95"/>
        <v>0</v>
      </c>
      <c r="Y298" s="90">
        <f t="shared" si="95"/>
        <v>0</v>
      </c>
      <c r="Z298" s="90">
        <f t="shared" si="95"/>
        <v>0</v>
      </c>
      <c r="AA298" s="90">
        <f t="shared" si="93"/>
        <v>0</v>
      </c>
      <c r="AB298" s="90">
        <f t="shared" si="93"/>
        <v>0</v>
      </c>
      <c r="AC298" s="90">
        <f t="shared" si="93"/>
        <v>0</v>
      </c>
      <c r="AE298" s="71">
        <f t="shared" si="96"/>
        <v>0</v>
      </c>
      <c r="AF298" s="71">
        <f t="shared" si="96"/>
        <v>0</v>
      </c>
      <c r="AG298" s="71">
        <f t="shared" si="96"/>
        <v>0</v>
      </c>
      <c r="AH298" s="71">
        <f t="shared" si="94"/>
        <v>0</v>
      </c>
      <c r="AI298" s="71">
        <f t="shared" si="94"/>
        <v>0</v>
      </c>
      <c r="AJ298" s="71">
        <f t="shared" si="94"/>
        <v>0</v>
      </c>
    </row>
    <row r="299" spans="2:36">
      <c r="B299" s="597"/>
      <c r="C299" s="597"/>
      <c r="D299" s="597"/>
      <c r="E299" s="597"/>
      <c r="F299" s="597"/>
      <c r="G299" s="597"/>
      <c r="I299" s="597"/>
      <c r="J299" s="597"/>
      <c r="K299" s="597"/>
      <c r="L299" s="597"/>
      <c r="M299" s="597"/>
      <c r="N299" s="597"/>
      <c r="O299" s="598"/>
      <c r="P299" s="90">
        <v>37</v>
      </c>
      <c r="Q299" s="71">
        <v>0</v>
      </c>
      <c r="R299" s="71">
        <v>0</v>
      </c>
      <c r="S299" s="71">
        <v>0</v>
      </c>
      <c r="T299" s="71">
        <v>0</v>
      </c>
      <c r="U299" s="71">
        <v>0</v>
      </c>
      <c r="V299" s="71">
        <v>0</v>
      </c>
      <c r="X299" s="90">
        <f t="shared" si="95"/>
        <v>0</v>
      </c>
      <c r="Y299" s="90">
        <f t="shared" si="95"/>
        <v>0</v>
      </c>
      <c r="Z299" s="90">
        <f t="shared" si="95"/>
        <v>0</v>
      </c>
      <c r="AA299" s="90">
        <f t="shared" si="93"/>
        <v>0</v>
      </c>
      <c r="AB299" s="90">
        <f t="shared" si="93"/>
        <v>0</v>
      </c>
      <c r="AC299" s="90">
        <f t="shared" si="93"/>
        <v>0</v>
      </c>
      <c r="AE299" s="71">
        <f t="shared" si="96"/>
        <v>0</v>
      </c>
      <c r="AF299" s="71">
        <f t="shared" si="96"/>
        <v>0</v>
      </c>
      <c r="AG299" s="71">
        <f t="shared" si="96"/>
        <v>0</v>
      </c>
      <c r="AH299" s="71">
        <f t="shared" si="94"/>
        <v>0</v>
      </c>
      <c r="AI299" s="71">
        <f t="shared" si="94"/>
        <v>0</v>
      </c>
      <c r="AJ299" s="71">
        <f t="shared" si="94"/>
        <v>0</v>
      </c>
    </row>
    <row r="300" spans="2:36">
      <c r="B300" s="597"/>
      <c r="C300" s="597"/>
      <c r="D300" s="597"/>
      <c r="E300" s="597"/>
      <c r="F300" s="597"/>
      <c r="G300" s="597"/>
      <c r="I300" s="597"/>
      <c r="J300" s="597"/>
      <c r="K300" s="597"/>
      <c r="L300" s="597"/>
      <c r="M300" s="597"/>
      <c r="N300" s="597"/>
      <c r="O300" s="598"/>
      <c r="P300" s="90">
        <v>37</v>
      </c>
      <c r="Q300" s="71">
        <v>0</v>
      </c>
      <c r="R300" s="71">
        <v>0</v>
      </c>
      <c r="S300" s="71">
        <v>0</v>
      </c>
      <c r="T300" s="71">
        <v>0</v>
      </c>
      <c r="U300" s="71">
        <v>0</v>
      </c>
      <c r="V300" s="71">
        <v>0</v>
      </c>
      <c r="X300" s="90">
        <f t="shared" si="95"/>
        <v>0</v>
      </c>
      <c r="Y300" s="90">
        <f t="shared" si="95"/>
        <v>0</v>
      </c>
      <c r="Z300" s="90">
        <f t="shared" si="95"/>
        <v>0</v>
      </c>
      <c r="AA300" s="90">
        <f t="shared" si="93"/>
        <v>0</v>
      </c>
      <c r="AB300" s="90">
        <f t="shared" si="93"/>
        <v>0</v>
      </c>
      <c r="AC300" s="90">
        <f t="shared" si="93"/>
        <v>0</v>
      </c>
      <c r="AE300" s="71">
        <f t="shared" si="96"/>
        <v>0</v>
      </c>
      <c r="AF300" s="71">
        <f t="shared" si="96"/>
        <v>0</v>
      </c>
      <c r="AG300" s="71">
        <f t="shared" si="96"/>
        <v>0</v>
      </c>
      <c r="AH300" s="71">
        <f t="shared" si="94"/>
        <v>0</v>
      </c>
      <c r="AI300" s="71">
        <f t="shared" si="94"/>
        <v>0</v>
      </c>
      <c r="AJ300" s="71">
        <f t="shared" si="94"/>
        <v>0</v>
      </c>
    </row>
    <row r="301" spans="2:36" s="599" customFormat="1">
      <c r="B301" s="600"/>
      <c r="C301" s="600"/>
      <c r="D301" s="600"/>
      <c r="E301" s="600"/>
      <c r="F301" s="600"/>
      <c r="G301" s="600"/>
      <c r="I301" s="600"/>
      <c r="J301" s="600"/>
      <c r="K301" s="600"/>
      <c r="L301" s="600"/>
      <c r="M301" s="600"/>
      <c r="N301" s="600"/>
      <c r="O301" s="601"/>
      <c r="P301" s="599">
        <v>37</v>
      </c>
      <c r="Q301" s="602">
        <v>0</v>
      </c>
      <c r="R301" s="602">
        <v>0</v>
      </c>
      <c r="S301" s="602">
        <v>0</v>
      </c>
      <c r="T301" s="602">
        <v>0</v>
      </c>
      <c r="U301" s="602">
        <v>0</v>
      </c>
      <c r="V301" s="602">
        <v>0</v>
      </c>
      <c r="X301" s="599">
        <f t="shared" si="95"/>
        <v>0</v>
      </c>
      <c r="Y301" s="599">
        <f t="shared" si="95"/>
        <v>0</v>
      </c>
      <c r="Z301" s="599">
        <f t="shared" si="95"/>
        <v>0</v>
      </c>
      <c r="AA301" s="599">
        <f t="shared" si="93"/>
        <v>0</v>
      </c>
      <c r="AB301" s="599">
        <f t="shared" si="93"/>
        <v>0</v>
      </c>
      <c r="AC301" s="599">
        <f t="shared" si="93"/>
        <v>0</v>
      </c>
      <c r="AE301" s="602">
        <f t="shared" si="96"/>
        <v>0</v>
      </c>
      <c r="AF301" s="602">
        <f t="shared" si="96"/>
        <v>0</v>
      </c>
      <c r="AG301" s="602">
        <f t="shared" si="96"/>
        <v>0</v>
      </c>
      <c r="AH301" s="602">
        <f t="shared" si="94"/>
        <v>0</v>
      </c>
      <c r="AI301" s="602">
        <f t="shared" si="94"/>
        <v>0</v>
      </c>
      <c r="AJ301" s="602">
        <f t="shared" si="94"/>
        <v>0</v>
      </c>
    </row>
    <row r="302" spans="2:36" s="605" customFormat="1">
      <c r="B302" s="604"/>
      <c r="C302" s="604"/>
      <c r="D302" s="604"/>
      <c r="E302" s="604"/>
      <c r="F302" s="604"/>
      <c r="G302" s="604"/>
      <c r="I302" s="604"/>
      <c r="J302" s="604"/>
      <c r="K302" s="604"/>
      <c r="L302" s="604"/>
      <c r="M302" s="604"/>
      <c r="N302" s="604"/>
      <c r="O302" s="606"/>
      <c r="P302" s="605">
        <v>38</v>
      </c>
      <c r="Q302" s="607">
        <v>0</v>
      </c>
      <c r="R302" s="607">
        <v>0</v>
      </c>
      <c r="S302" s="607">
        <v>0</v>
      </c>
      <c r="T302" s="607">
        <v>0</v>
      </c>
      <c r="U302" s="607">
        <v>0</v>
      </c>
      <c r="V302" s="607">
        <v>0</v>
      </c>
      <c r="X302" s="605">
        <f t="shared" si="95"/>
        <v>0</v>
      </c>
      <c r="Y302" s="605">
        <f t="shared" si="95"/>
        <v>0</v>
      </c>
      <c r="Z302" s="605">
        <f t="shared" si="95"/>
        <v>0</v>
      </c>
      <c r="AA302" s="605">
        <f t="shared" si="93"/>
        <v>0</v>
      </c>
      <c r="AB302" s="605">
        <f t="shared" si="93"/>
        <v>0</v>
      </c>
      <c r="AC302" s="605">
        <f t="shared" si="93"/>
        <v>0</v>
      </c>
      <c r="AE302" s="607">
        <f t="shared" si="96"/>
        <v>0</v>
      </c>
      <c r="AF302" s="607">
        <f t="shared" si="96"/>
        <v>0</v>
      </c>
      <c r="AG302" s="607">
        <f t="shared" si="96"/>
        <v>0</v>
      </c>
      <c r="AH302" s="607">
        <f t="shared" si="94"/>
        <v>0</v>
      </c>
      <c r="AI302" s="607">
        <f t="shared" si="94"/>
        <v>0</v>
      </c>
      <c r="AJ302" s="607">
        <f t="shared" si="94"/>
        <v>0</v>
      </c>
    </row>
    <row r="303" spans="2:36">
      <c r="B303" s="597"/>
      <c r="C303" s="597"/>
      <c r="D303" s="597"/>
      <c r="E303" s="597"/>
      <c r="F303" s="597"/>
      <c r="G303" s="597"/>
      <c r="I303" s="597"/>
      <c r="J303" s="597"/>
      <c r="K303" s="597"/>
      <c r="L303" s="597"/>
      <c r="M303" s="597"/>
      <c r="N303" s="597"/>
      <c r="O303" s="598"/>
      <c r="P303" s="90">
        <v>38</v>
      </c>
      <c r="Q303" s="71">
        <v>0</v>
      </c>
      <c r="R303" s="71">
        <v>0</v>
      </c>
      <c r="S303" s="71">
        <v>0</v>
      </c>
      <c r="T303" s="71">
        <v>0</v>
      </c>
      <c r="U303" s="71">
        <v>0</v>
      </c>
      <c r="V303" s="71">
        <v>0</v>
      </c>
      <c r="X303" s="90">
        <f t="shared" si="95"/>
        <v>0</v>
      </c>
      <c r="Y303" s="90">
        <f t="shared" si="95"/>
        <v>0</v>
      </c>
      <c r="Z303" s="90">
        <f t="shared" si="95"/>
        <v>0</v>
      </c>
      <c r="AA303" s="90">
        <f t="shared" si="93"/>
        <v>0</v>
      </c>
      <c r="AB303" s="90">
        <f t="shared" si="93"/>
        <v>0</v>
      </c>
      <c r="AC303" s="90">
        <f t="shared" si="93"/>
        <v>0</v>
      </c>
      <c r="AE303" s="71">
        <f t="shared" si="96"/>
        <v>0</v>
      </c>
      <c r="AF303" s="71">
        <f t="shared" si="96"/>
        <v>0</v>
      </c>
      <c r="AG303" s="71">
        <f t="shared" si="96"/>
        <v>0</v>
      </c>
      <c r="AH303" s="71">
        <f t="shared" si="94"/>
        <v>0</v>
      </c>
      <c r="AI303" s="71">
        <f t="shared" si="94"/>
        <v>0</v>
      </c>
      <c r="AJ303" s="71">
        <f t="shared" si="94"/>
        <v>0</v>
      </c>
    </row>
    <row r="304" spans="2:36">
      <c r="B304" s="597"/>
      <c r="C304" s="597"/>
      <c r="D304" s="597"/>
      <c r="E304" s="597"/>
      <c r="F304" s="597"/>
      <c r="G304" s="597"/>
      <c r="I304" s="597"/>
      <c r="J304" s="597"/>
      <c r="K304" s="597"/>
      <c r="L304" s="597"/>
      <c r="M304" s="597"/>
      <c r="N304" s="597"/>
      <c r="O304" s="598"/>
      <c r="P304" s="90">
        <v>38</v>
      </c>
      <c r="Q304" s="71">
        <v>0</v>
      </c>
      <c r="R304" s="71">
        <v>0</v>
      </c>
      <c r="S304" s="71">
        <v>0</v>
      </c>
      <c r="T304" s="71">
        <v>0</v>
      </c>
      <c r="U304" s="71">
        <v>0</v>
      </c>
      <c r="V304" s="71">
        <v>0</v>
      </c>
      <c r="X304" s="90">
        <f t="shared" si="95"/>
        <v>0</v>
      </c>
      <c r="Y304" s="90">
        <f t="shared" si="95"/>
        <v>0</v>
      </c>
      <c r="Z304" s="90">
        <f t="shared" si="95"/>
        <v>0</v>
      </c>
      <c r="AA304" s="90">
        <f t="shared" si="93"/>
        <v>0</v>
      </c>
      <c r="AB304" s="90">
        <f t="shared" si="93"/>
        <v>0</v>
      </c>
      <c r="AC304" s="90">
        <f t="shared" si="93"/>
        <v>0</v>
      </c>
      <c r="AE304" s="71">
        <f t="shared" si="96"/>
        <v>0</v>
      </c>
      <c r="AF304" s="71">
        <f t="shared" si="96"/>
        <v>0</v>
      </c>
      <c r="AG304" s="71">
        <f t="shared" si="96"/>
        <v>0</v>
      </c>
      <c r="AH304" s="71">
        <f t="shared" si="94"/>
        <v>0</v>
      </c>
      <c r="AI304" s="71">
        <f t="shared" si="94"/>
        <v>0</v>
      </c>
      <c r="AJ304" s="71">
        <f t="shared" si="94"/>
        <v>0</v>
      </c>
    </row>
    <row r="305" spans="2:36">
      <c r="B305" s="597"/>
      <c r="C305" s="597"/>
      <c r="D305" s="597"/>
      <c r="E305" s="597"/>
      <c r="F305" s="597"/>
      <c r="G305" s="597"/>
      <c r="I305" s="597"/>
      <c r="J305" s="597"/>
      <c r="K305" s="597"/>
      <c r="L305" s="597"/>
      <c r="M305" s="597"/>
      <c r="N305" s="597"/>
      <c r="O305" s="598"/>
      <c r="P305" s="90">
        <v>38</v>
      </c>
      <c r="Q305" s="71">
        <v>0</v>
      </c>
      <c r="R305" s="71">
        <v>0</v>
      </c>
      <c r="S305" s="71">
        <v>0</v>
      </c>
      <c r="T305" s="71">
        <v>0</v>
      </c>
      <c r="U305" s="71">
        <v>0</v>
      </c>
      <c r="V305" s="71">
        <v>0</v>
      </c>
      <c r="X305" s="90">
        <f t="shared" si="95"/>
        <v>0</v>
      </c>
      <c r="Y305" s="90">
        <f t="shared" si="95"/>
        <v>0</v>
      </c>
      <c r="Z305" s="90">
        <f t="shared" si="95"/>
        <v>0</v>
      </c>
      <c r="AA305" s="90">
        <f t="shared" si="93"/>
        <v>0</v>
      </c>
      <c r="AB305" s="90">
        <f t="shared" si="93"/>
        <v>0</v>
      </c>
      <c r="AC305" s="90">
        <f t="shared" si="93"/>
        <v>0</v>
      </c>
      <c r="AE305" s="71">
        <f t="shared" si="96"/>
        <v>0</v>
      </c>
      <c r="AF305" s="71">
        <f t="shared" si="96"/>
        <v>0</v>
      </c>
      <c r="AG305" s="71">
        <f t="shared" si="96"/>
        <v>0</v>
      </c>
      <c r="AH305" s="71">
        <f t="shared" si="94"/>
        <v>0</v>
      </c>
      <c r="AI305" s="71">
        <f t="shared" si="94"/>
        <v>0</v>
      </c>
      <c r="AJ305" s="71">
        <f t="shared" si="94"/>
        <v>0</v>
      </c>
    </row>
    <row r="306" spans="2:36">
      <c r="B306" s="597"/>
      <c r="C306" s="597"/>
      <c r="D306" s="597"/>
      <c r="E306" s="597"/>
      <c r="F306" s="597"/>
      <c r="G306" s="597"/>
      <c r="I306" s="597"/>
      <c r="J306" s="597"/>
      <c r="K306" s="597"/>
      <c r="L306" s="597"/>
      <c r="M306" s="597"/>
      <c r="N306" s="597"/>
      <c r="O306" s="598"/>
      <c r="P306" s="90">
        <v>38</v>
      </c>
      <c r="Q306" s="71">
        <v>0</v>
      </c>
      <c r="R306" s="71">
        <v>0</v>
      </c>
      <c r="S306" s="71">
        <v>0</v>
      </c>
      <c r="T306" s="71">
        <v>0</v>
      </c>
      <c r="U306" s="71">
        <v>0</v>
      </c>
      <c r="V306" s="71">
        <v>0</v>
      </c>
      <c r="X306" s="90">
        <f t="shared" si="95"/>
        <v>0</v>
      </c>
      <c r="Y306" s="90">
        <f t="shared" si="95"/>
        <v>0</v>
      </c>
      <c r="Z306" s="90">
        <f t="shared" si="95"/>
        <v>0</v>
      </c>
      <c r="AA306" s="90">
        <f t="shared" si="93"/>
        <v>0</v>
      </c>
      <c r="AB306" s="90">
        <f t="shared" si="93"/>
        <v>0</v>
      </c>
      <c r="AC306" s="90">
        <f t="shared" si="93"/>
        <v>0</v>
      </c>
      <c r="AE306" s="71">
        <f t="shared" si="96"/>
        <v>0</v>
      </c>
      <c r="AF306" s="71">
        <f t="shared" si="96"/>
        <v>0</v>
      </c>
      <c r="AG306" s="71">
        <f t="shared" si="96"/>
        <v>0</v>
      </c>
      <c r="AH306" s="71">
        <f t="shared" si="94"/>
        <v>0</v>
      </c>
      <c r="AI306" s="71">
        <f t="shared" si="94"/>
        <v>0</v>
      </c>
      <c r="AJ306" s="71">
        <f t="shared" si="94"/>
        <v>0</v>
      </c>
    </row>
    <row r="307" spans="2:36">
      <c r="B307" s="597"/>
      <c r="C307" s="597"/>
      <c r="D307" s="597"/>
      <c r="E307" s="597"/>
      <c r="F307" s="597"/>
      <c r="G307" s="597"/>
      <c r="I307" s="597"/>
      <c r="J307" s="597"/>
      <c r="K307" s="597"/>
      <c r="L307" s="597"/>
      <c r="M307" s="597"/>
      <c r="N307" s="597"/>
      <c r="O307" s="598"/>
      <c r="P307" s="90">
        <v>38</v>
      </c>
      <c r="Q307" s="71">
        <v>0</v>
      </c>
      <c r="R307" s="71">
        <v>0</v>
      </c>
      <c r="S307" s="71">
        <v>0</v>
      </c>
      <c r="T307" s="71">
        <v>0</v>
      </c>
      <c r="U307" s="71">
        <v>0</v>
      </c>
      <c r="V307" s="71">
        <v>0</v>
      </c>
      <c r="X307" s="90">
        <f t="shared" si="95"/>
        <v>0</v>
      </c>
      <c r="Y307" s="90">
        <f t="shared" si="95"/>
        <v>0</v>
      </c>
      <c r="Z307" s="90">
        <f t="shared" si="95"/>
        <v>0</v>
      </c>
      <c r="AA307" s="90">
        <f t="shared" si="93"/>
        <v>0</v>
      </c>
      <c r="AB307" s="90">
        <f t="shared" si="93"/>
        <v>0</v>
      </c>
      <c r="AC307" s="90">
        <f t="shared" si="93"/>
        <v>0</v>
      </c>
      <c r="AE307" s="71">
        <f t="shared" si="96"/>
        <v>0</v>
      </c>
      <c r="AF307" s="71">
        <f t="shared" si="96"/>
        <v>0</v>
      </c>
      <c r="AG307" s="71">
        <f t="shared" si="96"/>
        <v>0</v>
      </c>
      <c r="AH307" s="71">
        <f t="shared" si="94"/>
        <v>0</v>
      </c>
      <c r="AI307" s="71">
        <f t="shared" si="94"/>
        <v>0</v>
      </c>
      <c r="AJ307" s="71">
        <f t="shared" si="94"/>
        <v>0</v>
      </c>
    </row>
    <row r="308" spans="2:36">
      <c r="B308" s="597"/>
      <c r="C308" s="597"/>
      <c r="D308" s="597"/>
      <c r="E308" s="597"/>
      <c r="F308" s="597"/>
      <c r="G308" s="597"/>
      <c r="I308" s="597"/>
      <c r="J308" s="597"/>
      <c r="K308" s="597"/>
      <c r="L308" s="597"/>
      <c r="M308" s="597"/>
      <c r="N308" s="597"/>
      <c r="O308" s="598"/>
      <c r="P308" s="90">
        <v>38</v>
      </c>
      <c r="Q308" s="71">
        <v>0</v>
      </c>
      <c r="R308" s="71">
        <v>0</v>
      </c>
      <c r="S308" s="71">
        <v>0</v>
      </c>
      <c r="T308" s="71">
        <v>0</v>
      </c>
      <c r="U308" s="71">
        <v>0</v>
      </c>
      <c r="V308" s="71">
        <v>0</v>
      </c>
      <c r="X308" s="90">
        <f t="shared" si="95"/>
        <v>0</v>
      </c>
      <c r="Y308" s="90">
        <f t="shared" si="95"/>
        <v>0</v>
      </c>
      <c r="Z308" s="90">
        <f t="shared" si="95"/>
        <v>0</v>
      </c>
      <c r="AA308" s="90">
        <f t="shared" si="93"/>
        <v>0</v>
      </c>
      <c r="AB308" s="90">
        <f t="shared" si="93"/>
        <v>0</v>
      </c>
      <c r="AC308" s="90">
        <f t="shared" si="93"/>
        <v>0</v>
      </c>
      <c r="AE308" s="71">
        <f t="shared" si="96"/>
        <v>0</v>
      </c>
      <c r="AF308" s="71">
        <f t="shared" si="96"/>
        <v>0</v>
      </c>
      <c r="AG308" s="71">
        <f t="shared" si="96"/>
        <v>0</v>
      </c>
      <c r="AH308" s="71">
        <f t="shared" si="94"/>
        <v>0</v>
      </c>
      <c r="AI308" s="71">
        <f t="shared" si="94"/>
        <v>0</v>
      </c>
      <c r="AJ308" s="71">
        <f t="shared" si="94"/>
        <v>0</v>
      </c>
    </row>
    <row r="309" spans="2:36" s="599" customFormat="1">
      <c r="B309" s="600"/>
      <c r="C309" s="600"/>
      <c r="D309" s="600"/>
      <c r="E309" s="600"/>
      <c r="F309" s="600"/>
      <c r="G309" s="600"/>
      <c r="I309" s="600"/>
      <c r="J309" s="600"/>
      <c r="K309" s="600"/>
      <c r="L309" s="600"/>
      <c r="M309" s="600"/>
      <c r="N309" s="600"/>
      <c r="O309" s="601"/>
      <c r="P309" s="599">
        <v>38</v>
      </c>
      <c r="Q309" s="602">
        <v>0</v>
      </c>
      <c r="R309" s="602">
        <v>0</v>
      </c>
      <c r="S309" s="602">
        <v>0</v>
      </c>
      <c r="T309" s="602">
        <v>0</v>
      </c>
      <c r="U309" s="602">
        <v>0</v>
      </c>
      <c r="V309" s="602">
        <v>0</v>
      </c>
      <c r="X309" s="599">
        <f t="shared" si="95"/>
        <v>0</v>
      </c>
      <c r="Y309" s="599">
        <f t="shared" si="95"/>
        <v>0</v>
      </c>
      <c r="Z309" s="599">
        <f t="shared" si="95"/>
        <v>0</v>
      </c>
      <c r="AA309" s="599">
        <f t="shared" si="93"/>
        <v>0</v>
      </c>
      <c r="AB309" s="599">
        <f t="shared" si="93"/>
        <v>0</v>
      </c>
      <c r="AC309" s="599">
        <f t="shared" si="93"/>
        <v>0</v>
      </c>
      <c r="AE309" s="602">
        <f t="shared" si="96"/>
        <v>0</v>
      </c>
      <c r="AF309" s="602">
        <f t="shared" si="96"/>
        <v>0</v>
      </c>
      <c r="AG309" s="602">
        <f t="shared" si="96"/>
        <v>0</v>
      </c>
      <c r="AH309" s="602">
        <f t="shared" si="94"/>
        <v>0</v>
      </c>
      <c r="AI309" s="602">
        <f t="shared" si="94"/>
        <v>0</v>
      </c>
      <c r="AJ309" s="602">
        <f t="shared" si="94"/>
        <v>0</v>
      </c>
    </row>
    <row r="310" spans="2:36" s="605" customFormat="1">
      <c r="B310" s="604"/>
      <c r="C310" s="604"/>
      <c r="D310" s="604"/>
      <c r="E310" s="604"/>
      <c r="F310" s="604"/>
      <c r="G310" s="604"/>
      <c r="I310" s="604"/>
      <c r="J310" s="604"/>
      <c r="K310" s="604"/>
      <c r="L310" s="604"/>
      <c r="M310" s="604"/>
      <c r="N310" s="604"/>
      <c r="O310" s="606"/>
      <c r="P310" s="605">
        <v>39</v>
      </c>
      <c r="Q310" s="607">
        <v>0</v>
      </c>
      <c r="R310" s="607">
        <v>0</v>
      </c>
      <c r="S310" s="607">
        <v>0</v>
      </c>
      <c r="T310" s="607">
        <v>0</v>
      </c>
      <c r="U310" s="607">
        <v>0</v>
      </c>
      <c r="V310" s="607">
        <v>0</v>
      </c>
      <c r="X310" s="605">
        <f t="shared" si="95"/>
        <v>0</v>
      </c>
      <c r="Y310" s="605">
        <f t="shared" si="95"/>
        <v>0</v>
      </c>
      <c r="Z310" s="605">
        <f t="shared" si="95"/>
        <v>0</v>
      </c>
      <c r="AA310" s="605">
        <f t="shared" si="93"/>
        <v>0</v>
      </c>
      <c r="AB310" s="605">
        <f t="shared" si="93"/>
        <v>0</v>
      </c>
      <c r="AC310" s="605">
        <f t="shared" si="93"/>
        <v>0</v>
      </c>
      <c r="AE310" s="607">
        <f t="shared" si="96"/>
        <v>0</v>
      </c>
      <c r="AF310" s="607">
        <f t="shared" si="96"/>
        <v>0</v>
      </c>
      <c r="AG310" s="607">
        <f t="shared" si="96"/>
        <v>0</v>
      </c>
      <c r="AH310" s="607">
        <f t="shared" si="94"/>
        <v>0</v>
      </c>
      <c r="AI310" s="607">
        <f t="shared" si="94"/>
        <v>0</v>
      </c>
      <c r="AJ310" s="607">
        <f t="shared" si="94"/>
        <v>0</v>
      </c>
    </row>
    <row r="311" spans="2:36">
      <c r="B311" s="597"/>
      <c r="C311" s="597"/>
      <c r="D311" s="597"/>
      <c r="E311" s="597"/>
      <c r="F311" s="597"/>
      <c r="G311" s="597"/>
      <c r="I311" s="597"/>
      <c r="J311" s="597"/>
      <c r="K311" s="597"/>
      <c r="L311" s="597"/>
      <c r="M311" s="597"/>
      <c r="N311" s="597"/>
      <c r="O311" s="598"/>
      <c r="P311" s="90">
        <v>39</v>
      </c>
      <c r="Q311" s="71">
        <v>0</v>
      </c>
      <c r="R311" s="71">
        <v>0</v>
      </c>
      <c r="S311" s="71">
        <v>0</v>
      </c>
      <c r="T311" s="71">
        <v>0</v>
      </c>
      <c r="U311" s="71">
        <v>0</v>
      </c>
      <c r="V311" s="71">
        <v>0</v>
      </c>
      <c r="X311" s="90">
        <f t="shared" si="95"/>
        <v>0</v>
      </c>
      <c r="Y311" s="90">
        <f t="shared" si="95"/>
        <v>0</v>
      </c>
      <c r="Z311" s="90">
        <f t="shared" si="95"/>
        <v>0</v>
      </c>
      <c r="AA311" s="90">
        <f t="shared" si="93"/>
        <v>0</v>
      </c>
      <c r="AB311" s="90">
        <f t="shared" si="93"/>
        <v>0</v>
      </c>
      <c r="AC311" s="90">
        <f t="shared" si="93"/>
        <v>0</v>
      </c>
      <c r="AE311" s="71">
        <f t="shared" si="96"/>
        <v>0</v>
      </c>
      <c r="AF311" s="71">
        <f t="shared" si="96"/>
        <v>0</v>
      </c>
      <c r="AG311" s="71">
        <f t="shared" si="96"/>
        <v>0</v>
      </c>
      <c r="AH311" s="71">
        <f t="shared" si="94"/>
        <v>0</v>
      </c>
      <c r="AI311" s="71">
        <f t="shared" si="94"/>
        <v>0</v>
      </c>
      <c r="AJ311" s="71">
        <f t="shared" si="94"/>
        <v>0</v>
      </c>
    </row>
    <row r="312" spans="2:36">
      <c r="B312" s="597"/>
      <c r="C312" s="597"/>
      <c r="D312" s="597"/>
      <c r="E312" s="597"/>
      <c r="F312" s="597"/>
      <c r="G312" s="597"/>
      <c r="I312" s="597"/>
      <c r="J312" s="597"/>
      <c r="K312" s="597"/>
      <c r="L312" s="597"/>
      <c r="M312" s="597"/>
      <c r="N312" s="597"/>
      <c r="O312" s="598"/>
      <c r="P312" s="90">
        <v>39</v>
      </c>
      <c r="Q312" s="71">
        <v>0</v>
      </c>
      <c r="R312" s="71">
        <v>0</v>
      </c>
      <c r="S312" s="71">
        <v>0</v>
      </c>
      <c r="T312" s="71">
        <v>0</v>
      </c>
      <c r="U312" s="71">
        <v>0</v>
      </c>
      <c r="V312" s="71">
        <v>0</v>
      </c>
      <c r="X312" s="90">
        <f t="shared" si="95"/>
        <v>0</v>
      </c>
      <c r="Y312" s="90">
        <f t="shared" si="95"/>
        <v>0</v>
      </c>
      <c r="Z312" s="90">
        <f t="shared" si="95"/>
        <v>0</v>
      </c>
      <c r="AA312" s="90">
        <f t="shared" si="93"/>
        <v>0</v>
      </c>
      <c r="AB312" s="90">
        <f t="shared" si="93"/>
        <v>0</v>
      </c>
      <c r="AC312" s="90">
        <f t="shared" si="93"/>
        <v>0</v>
      </c>
      <c r="AE312" s="71">
        <f t="shared" si="96"/>
        <v>0</v>
      </c>
      <c r="AF312" s="71">
        <f t="shared" si="96"/>
        <v>0</v>
      </c>
      <c r="AG312" s="71">
        <f t="shared" si="96"/>
        <v>0</v>
      </c>
      <c r="AH312" s="71">
        <f t="shared" si="94"/>
        <v>0</v>
      </c>
      <c r="AI312" s="71">
        <f t="shared" si="94"/>
        <v>0</v>
      </c>
      <c r="AJ312" s="71">
        <f t="shared" si="94"/>
        <v>0</v>
      </c>
    </row>
    <row r="313" spans="2:36">
      <c r="B313" s="597"/>
      <c r="C313" s="597"/>
      <c r="D313" s="597"/>
      <c r="E313" s="597"/>
      <c r="F313" s="597"/>
      <c r="G313" s="597"/>
      <c r="I313" s="597"/>
      <c r="J313" s="597"/>
      <c r="K313" s="597"/>
      <c r="L313" s="597"/>
      <c r="M313" s="597"/>
      <c r="N313" s="597"/>
      <c r="O313" s="598"/>
      <c r="P313" s="90">
        <v>39</v>
      </c>
      <c r="Q313" s="71">
        <v>0</v>
      </c>
      <c r="R313" s="71">
        <v>0</v>
      </c>
      <c r="S313" s="71">
        <v>0</v>
      </c>
      <c r="T313" s="71">
        <v>0</v>
      </c>
      <c r="U313" s="71">
        <v>0</v>
      </c>
      <c r="V313" s="71">
        <v>0</v>
      </c>
      <c r="X313" s="90">
        <f t="shared" si="95"/>
        <v>0</v>
      </c>
      <c r="Y313" s="90">
        <f t="shared" si="95"/>
        <v>0</v>
      </c>
      <c r="Z313" s="90">
        <f t="shared" si="95"/>
        <v>0</v>
      </c>
      <c r="AA313" s="90">
        <f t="shared" si="93"/>
        <v>0</v>
      </c>
      <c r="AB313" s="90">
        <f t="shared" si="93"/>
        <v>0</v>
      </c>
      <c r="AC313" s="90">
        <f t="shared" si="93"/>
        <v>0</v>
      </c>
      <c r="AE313" s="71">
        <f t="shared" si="96"/>
        <v>0</v>
      </c>
      <c r="AF313" s="71">
        <f t="shared" si="96"/>
        <v>0</v>
      </c>
      <c r="AG313" s="71">
        <f t="shared" si="96"/>
        <v>0</v>
      </c>
      <c r="AH313" s="71">
        <f t="shared" si="94"/>
        <v>0</v>
      </c>
      <c r="AI313" s="71">
        <f t="shared" si="94"/>
        <v>0</v>
      </c>
      <c r="AJ313" s="71">
        <f t="shared" si="94"/>
        <v>0</v>
      </c>
    </row>
    <row r="314" spans="2:36">
      <c r="B314" s="597"/>
      <c r="C314" s="597"/>
      <c r="D314" s="597"/>
      <c r="E314" s="597"/>
      <c r="F314" s="597"/>
      <c r="G314" s="597"/>
      <c r="I314" s="597"/>
      <c r="J314" s="597"/>
      <c r="K314" s="597"/>
      <c r="L314" s="597"/>
      <c r="M314" s="597"/>
      <c r="N314" s="597"/>
      <c r="O314" s="598"/>
      <c r="P314" s="90">
        <v>39</v>
      </c>
      <c r="Q314" s="71">
        <v>0</v>
      </c>
      <c r="R314" s="71">
        <v>0</v>
      </c>
      <c r="S314" s="71">
        <v>0</v>
      </c>
      <c r="T314" s="71">
        <v>0</v>
      </c>
      <c r="U314" s="71">
        <v>0</v>
      </c>
      <c r="V314" s="71">
        <v>0</v>
      </c>
      <c r="X314" s="90">
        <f t="shared" si="95"/>
        <v>0</v>
      </c>
      <c r="Y314" s="90">
        <f t="shared" si="95"/>
        <v>0</v>
      </c>
      <c r="Z314" s="90">
        <f t="shared" si="95"/>
        <v>0</v>
      </c>
      <c r="AA314" s="90">
        <f t="shared" si="93"/>
        <v>0</v>
      </c>
      <c r="AB314" s="90">
        <f t="shared" si="93"/>
        <v>0</v>
      </c>
      <c r="AC314" s="90">
        <f t="shared" si="93"/>
        <v>0</v>
      </c>
      <c r="AE314" s="71">
        <f t="shared" si="96"/>
        <v>0</v>
      </c>
      <c r="AF314" s="71">
        <f t="shared" si="96"/>
        <v>0</v>
      </c>
      <c r="AG314" s="71">
        <f t="shared" si="96"/>
        <v>0</v>
      </c>
      <c r="AH314" s="71">
        <f t="shared" si="94"/>
        <v>0</v>
      </c>
      <c r="AI314" s="71">
        <f t="shared" si="94"/>
        <v>0</v>
      </c>
      <c r="AJ314" s="71">
        <f t="shared" si="94"/>
        <v>0</v>
      </c>
    </row>
    <row r="315" spans="2:36">
      <c r="B315" s="597"/>
      <c r="C315" s="597"/>
      <c r="D315" s="597"/>
      <c r="E315" s="597"/>
      <c r="F315" s="597"/>
      <c r="G315" s="597"/>
      <c r="I315" s="597"/>
      <c r="J315" s="597"/>
      <c r="K315" s="597"/>
      <c r="L315" s="597"/>
      <c r="M315" s="597"/>
      <c r="N315" s="597"/>
      <c r="O315" s="598"/>
      <c r="P315" s="90">
        <v>39</v>
      </c>
      <c r="Q315" s="71">
        <v>0</v>
      </c>
      <c r="R315" s="71">
        <v>0</v>
      </c>
      <c r="S315" s="71">
        <v>0</v>
      </c>
      <c r="T315" s="71">
        <v>0</v>
      </c>
      <c r="U315" s="71">
        <v>0</v>
      </c>
      <c r="V315" s="71">
        <v>0</v>
      </c>
      <c r="X315" s="90">
        <f t="shared" si="95"/>
        <v>0</v>
      </c>
      <c r="Y315" s="90">
        <f t="shared" si="95"/>
        <v>0</v>
      </c>
      <c r="Z315" s="90">
        <f t="shared" si="95"/>
        <v>0</v>
      </c>
      <c r="AA315" s="90">
        <f t="shared" si="93"/>
        <v>0</v>
      </c>
      <c r="AB315" s="90">
        <f t="shared" si="93"/>
        <v>0</v>
      </c>
      <c r="AC315" s="90">
        <f t="shared" si="93"/>
        <v>0</v>
      </c>
      <c r="AE315" s="71">
        <f t="shared" si="96"/>
        <v>0</v>
      </c>
      <c r="AF315" s="71">
        <f t="shared" si="96"/>
        <v>0</v>
      </c>
      <c r="AG315" s="71">
        <f t="shared" si="96"/>
        <v>0</v>
      </c>
      <c r="AH315" s="71">
        <f t="shared" si="94"/>
        <v>0</v>
      </c>
      <c r="AI315" s="71">
        <f t="shared" si="94"/>
        <v>0</v>
      </c>
      <c r="AJ315" s="71">
        <f t="shared" si="94"/>
        <v>0</v>
      </c>
    </row>
    <row r="316" spans="2:36">
      <c r="B316" s="597"/>
      <c r="C316" s="597"/>
      <c r="D316" s="597"/>
      <c r="E316" s="597"/>
      <c r="F316" s="597"/>
      <c r="G316" s="597"/>
      <c r="I316" s="597"/>
      <c r="J316" s="597"/>
      <c r="K316" s="597"/>
      <c r="L316" s="597"/>
      <c r="M316" s="597"/>
      <c r="N316" s="597"/>
      <c r="O316" s="598"/>
      <c r="P316" s="90">
        <v>39</v>
      </c>
      <c r="Q316" s="71">
        <v>0</v>
      </c>
      <c r="R316" s="71">
        <v>0</v>
      </c>
      <c r="S316" s="71">
        <v>0</v>
      </c>
      <c r="T316" s="71">
        <v>0</v>
      </c>
      <c r="U316" s="71">
        <v>0</v>
      </c>
      <c r="V316" s="71">
        <v>0</v>
      </c>
      <c r="X316" s="90">
        <f t="shared" si="95"/>
        <v>0</v>
      </c>
      <c r="Y316" s="90">
        <f t="shared" si="95"/>
        <v>0</v>
      </c>
      <c r="Z316" s="90">
        <f t="shared" si="95"/>
        <v>0</v>
      </c>
      <c r="AA316" s="90">
        <f t="shared" si="93"/>
        <v>0</v>
      </c>
      <c r="AB316" s="90">
        <f t="shared" si="93"/>
        <v>0</v>
      </c>
      <c r="AC316" s="90">
        <f t="shared" si="93"/>
        <v>0</v>
      </c>
      <c r="AE316" s="71">
        <f t="shared" si="96"/>
        <v>0</v>
      </c>
      <c r="AF316" s="71">
        <f t="shared" si="96"/>
        <v>0</v>
      </c>
      <c r="AG316" s="71">
        <f t="shared" si="96"/>
        <v>0</v>
      </c>
      <c r="AH316" s="71">
        <f t="shared" si="94"/>
        <v>0</v>
      </c>
      <c r="AI316" s="71">
        <f t="shared" si="94"/>
        <v>0</v>
      </c>
      <c r="AJ316" s="71">
        <f t="shared" si="94"/>
        <v>0</v>
      </c>
    </row>
    <row r="317" spans="2:36" s="599" customFormat="1">
      <c r="B317" s="600"/>
      <c r="C317" s="600"/>
      <c r="D317" s="600"/>
      <c r="E317" s="600"/>
      <c r="F317" s="600"/>
      <c r="G317" s="600"/>
      <c r="I317" s="600"/>
      <c r="J317" s="600"/>
      <c r="K317" s="600"/>
      <c r="L317" s="600"/>
      <c r="M317" s="600"/>
      <c r="N317" s="600"/>
      <c r="O317" s="601"/>
      <c r="P317" s="599">
        <v>39</v>
      </c>
      <c r="Q317" s="602">
        <v>0</v>
      </c>
      <c r="R317" s="602">
        <v>0</v>
      </c>
      <c r="S317" s="602">
        <v>0</v>
      </c>
      <c r="T317" s="602">
        <v>0</v>
      </c>
      <c r="U317" s="602">
        <v>0</v>
      </c>
      <c r="V317" s="602">
        <v>0</v>
      </c>
      <c r="X317" s="599">
        <f t="shared" si="95"/>
        <v>0</v>
      </c>
      <c r="Y317" s="599">
        <f t="shared" si="95"/>
        <v>0</v>
      </c>
      <c r="Z317" s="599">
        <f t="shared" si="95"/>
        <v>0</v>
      </c>
      <c r="AA317" s="599">
        <f t="shared" si="93"/>
        <v>0</v>
      </c>
      <c r="AB317" s="599">
        <f t="shared" si="93"/>
        <v>0</v>
      </c>
      <c r="AC317" s="599">
        <f t="shared" si="93"/>
        <v>0</v>
      </c>
      <c r="AE317" s="602">
        <f t="shared" si="96"/>
        <v>0</v>
      </c>
      <c r="AF317" s="602">
        <f t="shared" si="96"/>
        <v>0</v>
      </c>
      <c r="AG317" s="602">
        <f t="shared" si="96"/>
        <v>0</v>
      </c>
      <c r="AH317" s="602">
        <f t="shared" si="94"/>
        <v>0</v>
      </c>
      <c r="AI317" s="602">
        <f t="shared" si="94"/>
        <v>0</v>
      </c>
      <c r="AJ317" s="602">
        <f t="shared" si="94"/>
        <v>0</v>
      </c>
    </row>
    <row r="318" spans="2:36" s="605" customFormat="1">
      <c r="B318" s="604"/>
      <c r="C318" s="604"/>
      <c r="D318" s="604"/>
      <c r="E318" s="604"/>
      <c r="F318" s="604"/>
      <c r="G318" s="604"/>
      <c r="I318" s="604"/>
      <c r="J318" s="604"/>
      <c r="K318" s="604"/>
      <c r="L318" s="604"/>
      <c r="M318" s="604"/>
      <c r="N318" s="604"/>
      <c r="O318" s="606"/>
      <c r="P318" s="605">
        <v>40</v>
      </c>
      <c r="Q318" s="607">
        <v>0</v>
      </c>
      <c r="R318" s="607">
        <v>0</v>
      </c>
      <c r="S318" s="607">
        <v>0</v>
      </c>
      <c r="T318" s="607">
        <v>0</v>
      </c>
      <c r="U318" s="607">
        <v>0</v>
      </c>
      <c r="V318" s="607">
        <v>0</v>
      </c>
      <c r="X318" s="605">
        <f t="shared" si="95"/>
        <v>0</v>
      </c>
      <c r="Y318" s="605">
        <f t="shared" si="95"/>
        <v>0</v>
      </c>
      <c r="Z318" s="605">
        <f t="shared" si="95"/>
        <v>0</v>
      </c>
      <c r="AA318" s="605">
        <f t="shared" si="93"/>
        <v>0</v>
      </c>
      <c r="AB318" s="605">
        <f t="shared" si="93"/>
        <v>0</v>
      </c>
      <c r="AC318" s="605">
        <f t="shared" si="93"/>
        <v>0</v>
      </c>
      <c r="AE318" s="607">
        <f t="shared" si="96"/>
        <v>0</v>
      </c>
      <c r="AF318" s="607">
        <f t="shared" si="96"/>
        <v>0</v>
      </c>
      <c r="AG318" s="607">
        <f t="shared" si="96"/>
        <v>0</v>
      </c>
      <c r="AH318" s="607">
        <f t="shared" si="94"/>
        <v>0</v>
      </c>
      <c r="AI318" s="607">
        <f t="shared" si="94"/>
        <v>0</v>
      </c>
      <c r="AJ318" s="607">
        <f t="shared" si="94"/>
        <v>0</v>
      </c>
    </row>
    <row r="319" spans="2:36">
      <c r="B319" s="597"/>
      <c r="C319" s="597"/>
      <c r="D319" s="597"/>
      <c r="E319" s="597"/>
      <c r="F319" s="597"/>
      <c r="G319" s="597"/>
      <c r="I319" s="597"/>
      <c r="J319" s="597"/>
      <c r="K319" s="597"/>
      <c r="L319" s="597"/>
      <c r="M319" s="597"/>
      <c r="N319" s="597"/>
      <c r="O319" s="598"/>
      <c r="P319" s="90">
        <v>40</v>
      </c>
      <c r="Q319" s="71">
        <v>0</v>
      </c>
      <c r="R319" s="71">
        <v>0</v>
      </c>
      <c r="S319" s="71">
        <v>0</v>
      </c>
      <c r="T319" s="71">
        <v>0</v>
      </c>
      <c r="U319" s="71">
        <v>0</v>
      </c>
      <c r="V319" s="71">
        <v>0</v>
      </c>
      <c r="X319" s="90">
        <f t="shared" si="95"/>
        <v>0</v>
      </c>
      <c r="Y319" s="90">
        <f t="shared" si="95"/>
        <v>0</v>
      </c>
      <c r="Z319" s="90">
        <f t="shared" si="95"/>
        <v>0</v>
      </c>
      <c r="AA319" s="90">
        <f t="shared" si="93"/>
        <v>0</v>
      </c>
      <c r="AB319" s="90">
        <f t="shared" si="93"/>
        <v>0</v>
      </c>
      <c r="AC319" s="90">
        <f t="shared" si="93"/>
        <v>0</v>
      </c>
      <c r="AE319" s="71">
        <f t="shared" si="96"/>
        <v>0</v>
      </c>
      <c r="AF319" s="71">
        <f t="shared" si="96"/>
        <v>0</v>
      </c>
      <c r="AG319" s="71">
        <f t="shared" si="96"/>
        <v>0</v>
      </c>
      <c r="AH319" s="71">
        <f t="shared" si="94"/>
        <v>0</v>
      </c>
      <c r="AI319" s="71">
        <f t="shared" si="94"/>
        <v>0</v>
      </c>
      <c r="AJ319" s="71">
        <f t="shared" si="94"/>
        <v>0</v>
      </c>
    </row>
    <row r="320" spans="2:36">
      <c r="B320" s="597"/>
      <c r="C320" s="597"/>
      <c r="D320" s="597"/>
      <c r="E320" s="597"/>
      <c r="F320" s="597"/>
      <c r="G320" s="597"/>
      <c r="I320" s="597"/>
      <c r="J320" s="597"/>
      <c r="K320" s="597"/>
      <c r="L320" s="597"/>
      <c r="M320" s="597"/>
      <c r="N320" s="597"/>
      <c r="O320" s="598"/>
      <c r="P320" s="90">
        <v>40</v>
      </c>
      <c r="Q320" s="71">
        <v>0</v>
      </c>
      <c r="R320" s="71">
        <v>0</v>
      </c>
      <c r="S320" s="71">
        <v>0</v>
      </c>
      <c r="T320" s="71">
        <v>0</v>
      </c>
      <c r="U320" s="71">
        <v>0</v>
      </c>
      <c r="V320" s="71">
        <v>0</v>
      </c>
      <c r="X320" s="90">
        <f t="shared" si="95"/>
        <v>0</v>
      </c>
      <c r="Y320" s="90">
        <f t="shared" si="95"/>
        <v>0</v>
      </c>
      <c r="Z320" s="90">
        <f t="shared" si="95"/>
        <v>0</v>
      </c>
      <c r="AA320" s="90">
        <f t="shared" si="93"/>
        <v>0</v>
      </c>
      <c r="AB320" s="90">
        <f t="shared" si="93"/>
        <v>0</v>
      </c>
      <c r="AC320" s="90">
        <f t="shared" si="93"/>
        <v>0</v>
      </c>
      <c r="AE320" s="71">
        <f t="shared" si="96"/>
        <v>0</v>
      </c>
      <c r="AF320" s="71">
        <f t="shared" si="96"/>
        <v>0</v>
      </c>
      <c r="AG320" s="71">
        <f t="shared" si="96"/>
        <v>0</v>
      </c>
      <c r="AH320" s="71">
        <f t="shared" si="94"/>
        <v>0</v>
      </c>
      <c r="AI320" s="71">
        <f t="shared" si="94"/>
        <v>0</v>
      </c>
      <c r="AJ320" s="71">
        <f t="shared" si="94"/>
        <v>0</v>
      </c>
    </row>
    <row r="321" spans="2:36">
      <c r="B321" s="597"/>
      <c r="C321" s="597"/>
      <c r="D321" s="597"/>
      <c r="E321" s="597"/>
      <c r="F321" s="597"/>
      <c r="G321" s="597"/>
      <c r="I321" s="597"/>
      <c r="J321" s="597"/>
      <c r="K321" s="597"/>
      <c r="L321" s="597"/>
      <c r="M321" s="597"/>
      <c r="N321" s="597"/>
      <c r="O321" s="598"/>
      <c r="P321" s="90">
        <v>40</v>
      </c>
      <c r="Q321" s="71">
        <v>0</v>
      </c>
      <c r="R321" s="71">
        <v>0</v>
      </c>
      <c r="S321" s="71">
        <v>0</v>
      </c>
      <c r="T321" s="71">
        <v>0</v>
      </c>
      <c r="U321" s="71">
        <v>0</v>
      </c>
      <c r="V321" s="71">
        <v>0</v>
      </c>
      <c r="X321" s="90">
        <f t="shared" si="95"/>
        <v>0</v>
      </c>
      <c r="Y321" s="90">
        <f t="shared" si="95"/>
        <v>0</v>
      </c>
      <c r="Z321" s="90">
        <f t="shared" si="95"/>
        <v>0</v>
      </c>
      <c r="AA321" s="90">
        <f t="shared" si="93"/>
        <v>0</v>
      </c>
      <c r="AB321" s="90">
        <f t="shared" si="93"/>
        <v>0</v>
      </c>
      <c r="AC321" s="90">
        <f t="shared" si="93"/>
        <v>0</v>
      </c>
      <c r="AE321" s="71">
        <f t="shared" si="96"/>
        <v>0</v>
      </c>
      <c r="AF321" s="71">
        <f t="shared" si="96"/>
        <v>0</v>
      </c>
      <c r="AG321" s="71">
        <f t="shared" si="96"/>
        <v>0</v>
      </c>
      <c r="AH321" s="71">
        <f t="shared" si="94"/>
        <v>0</v>
      </c>
      <c r="AI321" s="71">
        <f t="shared" si="94"/>
        <v>0</v>
      </c>
      <c r="AJ321" s="71">
        <f t="shared" si="94"/>
        <v>0</v>
      </c>
    </row>
    <row r="322" spans="2:36">
      <c r="B322" s="597"/>
      <c r="C322" s="597"/>
      <c r="D322" s="597"/>
      <c r="E322" s="597"/>
      <c r="F322" s="597"/>
      <c r="G322" s="597"/>
      <c r="I322" s="597"/>
      <c r="J322" s="597"/>
      <c r="K322" s="597"/>
      <c r="L322" s="597"/>
      <c r="M322" s="597"/>
      <c r="N322" s="597"/>
      <c r="O322" s="598"/>
      <c r="P322" s="90">
        <v>40</v>
      </c>
      <c r="Q322" s="71">
        <v>0</v>
      </c>
      <c r="R322" s="71">
        <v>0</v>
      </c>
      <c r="S322" s="71">
        <v>0</v>
      </c>
      <c r="T322" s="71">
        <v>0</v>
      </c>
      <c r="U322" s="71">
        <v>0</v>
      </c>
      <c r="V322" s="71">
        <v>0</v>
      </c>
      <c r="X322" s="90">
        <f t="shared" si="95"/>
        <v>0</v>
      </c>
      <c r="Y322" s="90">
        <f t="shared" si="95"/>
        <v>0</v>
      </c>
      <c r="Z322" s="90">
        <f t="shared" si="95"/>
        <v>0</v>
      </c>
      <c r="AA322" s="90">
        <f t="shared" si="93"/>
        <v>0</v>
      </c>
      <c r="AB322" s="90">
        <f t="shared" si="93"/>
        <v>0</v>
      </c>
      <c r="AC322" s="90">
        <f t="shared" si="93"/>
        <v>0</v>
      </c>
      <c r="AE322" s="71">
        <f t="shared" si="96"/>
        <v>0</v>
      </c>
      <c r="AF322" s="71">
        <f t="shared" si="96"/>
        <v>0</v>
      </c>
      <c r="AG322" s="71">
        <f t="shared" si="96"/>
        <v>0</v>
      </c>
      <c r="AH322" s="71">
        <f t="shared" si="94"/>
        <v>0</v>
      </c>
      <c r="AI322" s="71">
        <f t="shared" si="94"/>
        <v>0</v>
      </c>
      <c r="AJ322" s="71">
        <f t="shared" si="94"/>
        <v>0</v>
      </c>
    </row>
    <row r="323" spans="2:36">
      <c r="B323" s="597"/>
      <c r="C323" s="597"/>
      <c r="D323" s="597"/>
      <c r="E323" s="597"/>
      <c r="F323" s="597"/>
      <c r="G323" s="597"/>
      <c r="I323" s="597"/>
      <c r="J323" s="597"/>
      <c r="K323" s="597"/>
      <c r="L323" s="597"/>
      <c r="M323" s="597"/>
      <c r="N323" s="597"/>
      <c r="O323" s="598"/>
      <c r="P323" s="90">
        <v>40</v>
      </c>
      <c r="Q323" s="71">
        <v>0</v>
      </c>
      <c r="R323" s="71">
        <v>0</v>
      </c>
      <c r="S323" s="71">
        <v>0</v>
      </c>
      <c r="T323" s="71">
        <v>0</v>
      </c>
      <c r="U323" s="71">
        <v>0</v>
      </c>
      <c r="V323" s="71">
        <v>0</v>
      </c>
      <c r="X323" s="90">
        <f t="shared" si="95"/>
        <v>0</v>
      </c>
      <c r="Y323" s="90">
        <f t="shared" si="95"/>
        <v>0</v>
      </c>
      <c r="Z323" s="90">
        <f t="shared" si="95"/>
        <v>0</v>
      </c>
      <c r="AA323" s="90">
        <f t="shared" si="93"/>
        <v>0</v>
      </c>
      <c r="AB323" s="90">
        <f t="shared" si="93"/>
        <v>0</v>
      </c>
      <c r="AC323" s="90">
        <f t="shared" si="93"/>
        <v>0</v>
      </c>
      <c r="AE323" s="71">
        <f t="shared" si="96"/>
        <v>0</v>
      </c>
      <c r="AF323" s="71">
        <f t="shared" si="96"/>
        <v>0</v>
      </c>
      <c r="AG323" s="71">
        <f t="shared" si="96"/>
        <v>0</v>
      </c>
      <c r="AH323" s="71">
        <f t="shared" si="94"/>
        <v>0</v>
      </c>
      <c r="AI323" s="71">
        <f t="shared" si="94"/>
        <v>0</v>
      </c>
      <c r="AJ323" s="71">
        <f t="shared" si="94"/>
        <v>0</v>
      </c>
    </row>
    <row r="324" spans="2:36">
      <c r="B324" s="597"/>
      <c r="C324" s="597"/>
      <c r="D324" s="597"/>
      <c r="E324" s="597"/>
      <c r="F324" s="597"/>
      <c r="G324" s="597"/>
      <c r="I324" s="597"/>
      <c r="J324" s="597"/>
      <c r="K324" s="597"/>
      <c r="L324" s="597"/>
      <c r="M324" s="597"/>
      <c r="N324" s="597"/>
      <c r="O324" s="598"/>
      <c r="P324" s="90">
        <v>40</v>
      </c>
      <c r="Q324" s="71">
        <v>0</v>
      </c>
      <c r="R324" s="71">
        <v>0</v>
      </c>
      <c r="S324" s="71">
        <v>0</v>
      </c>
      <c r="T324" s="71">
        <v>0</v>
      </c>
      <c r="U324" s="71">
        <v>0</v>
      </c>
      <c r="V324" s="71">
        <v>0</v>
      </c>
      <c r="X324" s="90">
        <f t="shared" si="95"/>
        <v>0</v>
      </c>
      <c r="Y324" s="90">
        <f t="shared" si="95"/>
        <v>0</v>
      </c>
      <c r="Z324" s="90">
        <f t="shared" si="95"/>
        <v>0</v>
      </c>
      <c r="AA324" s="90">
        <f t="shared" si="93"/>
        <v>0</v>
      </c>
      <c r="AB324" s="90">
        <f t="shared" si="93"/>
        <v>0</v>
      </c>
      <c r="AC324" s="90">
        <f t="shared" si="93"/>
        <v>0</v>
      </c>
      <c r="AE324" s="71">
        <f t="shared" si="96"/>
        <v>0</v>
      </c>
      <c r="AF324" s="71">
        <f t="shared" si="96"/>
        <v>0</v>
      </c>
      <c r="AG324" s="71">
        <f t="shared" si="96"/>
        <v>0</v>
      </c>
      <c r="AH324" s="71">
        <f t="shared" si="94"/>
        <v>0</v>
      </c>
      <c r="AI324" s="71">
        <f t="shared" si="94"/>
        <v>0</v>
      </c>
      <c r="AJ324" s="71">
        <f t="shared" si="94"/>
        <v>0</v>
      </c>
    </row>
    <row r="325" spans="2:36" s="599" customFormat="1">
      <c r="B325" s="600"/>
      <c r="C325" s="600"/>
      <c r="D325" s="600"/>
      <c r="E325" s="600"/>
      <c r="F325" s="600"/>
      <c r="G325" s="600"/>
      <c r="I325" s="600"/>
      <c r="J325" s="600"/>
      <c r="K325" s="600"/>
      <c r="L325" s="600"/>
      <c r="M325" s="600"/>
      <c r="N325" s="600"/>
      <c r="O325" s="601"/>
      <c r="P325" s="599">
        <v>40</v>
      </c>
      <c r="Q325" s="602">
        <v>0</v>
      </c>
      <c r="R325" s="602">
        <v>0</v>
      </c>
      <c r="S325" s="602">
        <v>0</v>
      </c>
      <c r="T325" s="602">
        <v>0</v>
      </c>
      <c r="U325" s="602">
        <v>0</v>
      </c>
      <c r="V325" s="602">
        <v>0</v>
      </c>
      <c r="X325" s="599">
        <f t="shared" si="95"/>
        <v>0</v>
      </c>
      <c r="Y325" s="599">
        <f t="shared" si="95"/>
        <v>0</v>
      </c>
      <c r="Z325" s="599">
        <f t="shared" si="95"/>
        <v>0</v>
      </c>
      <c r="AA325" s="599">
        <f t="shared" si="93"/>
        <v>0</v>
      </c>
      <c r="AB325" s="599">
        <f t="shared" si="93"/>
        <v>0</v>
      </c>
      <c r="AC325" s="599">
        <f t="shared" si="93"/>
        <v>0</v>
      </c>
      <c r="AE325" s="602">
        <f t="shared" si="96"/>
        <v>0</v>
      </c>
      <c r="AF325" s="602">
        <f t="shared" si="96"/>
        <v>0</v>
      </c>
      <c r="AG325" s="602">
        <f t="shared" si="96"/>
        <v>0</v>
      </c>
      <c r="AH325" s="602">
        <f t="shared" si="94"/>
        <v>0</v>
      </c>
      <c r="AI325" s="602">
        <f t="shared" si="94"/>
        <v>0</v>
      </c>
      <c r="AJ325" s="602">
        <f t="shared" si="94"/>
        <v>0</v>
      </c>
    </row>
    <row r="326" spans="2:36" s="605" customFormat="1">
      <c r="B326" s="604"/>
      <c r="C326" s="604"/>
      <c r="D326" s="604"/>
      <c r="E326" s="604"/>
      <c r="F326" s="604"/>
      <c r="G326" s="604"/>
      <c r="I326" s="604"/>
      <c r="J326" s="604"/>
      <c r="K326" s="604"/>
      <c r="L326" s="604"/>
      <c r="M326" s="604"/>
      <c r="N326" s="604"/>
      <c r="O326" s="606"/>
      <c r="P326" s="605">
        <v>41</v>
      </c>
      <c r="Q326" s="607">
        <v>0</v>
      </c>
      <c r="R326" s="607">
        <v>0</v>
      </c>
      <c r="S326" s="607">
        <v>0</v>
      </c>
      <c r="T326" s="607">
        <v>0</v>
      </c>
      <c r="U326" s="607">
        <v>0</v>
      </c>
      <c r="V326" s="607">
        <v>0</v>
      </c>
      <c r="X326" s="605">
        <f t="shared" si="95"/>
        <v>0</v>
      </c>
      <c r="Y326" s="605">
        <f t="shared" si="95"/>
        <v>0</v>
      </c>
      <c r="Z326" s="605">
        <f t="shared" si="95"/>
        <v>0</v>
      </c>
      <c r="AA326" s="605">
        <f t="shared" si="93"/>
        <v>0</v>
      </c>
      <c r="AB326" s="605">
        <f t="shared" si="93"/>
        <v>0</v>
      </c>
      <c r="AC326" s="605">
        <f t="shared" si="93"/>
        <v>0</v>
      </c>
      <c r="AE326" s="607">
        <f t="shared" si="96"/>
        <v>0</v>
      </c>
      <c r="AF326" s="607">
        <f t="shared" si="96"/>
        <v>0</v>
      </c>
      <c r="AG326" s="607">
        <f t="shared" si="96"/>
        <v>0</v>
      </c>
      <c r="AH326" s="607">
        <f t="shared" si="94"/>
        <v>0</v>
      </c>
      <c r="AI326" s="607">
        <f t="shared" si="94"/>
        <v>0</v>
      </c>
      <c r="AJ326" s="607">
        <f t="shared" si="94"/>
        <v>0</v>
      </c>
    </row>
    <row r="327" spans="2:36">
      <c r="B327" s="597"/>
      <c r="C327" s="597"/>
      <c r="D327" s="597"/>
      <c r="E327" s="597"/>
      <c r="F327" s="597"/>
      <c r="G327" s="597"/>
      <c r="I327" s="597"/>
      <c r="J327" s="597"/>
      <c r="K327" s="597"/>
      <c r="L327" s="597"/>
      <c r="M327" s="597"/>
      <c r="N327" s="597"/>
      <c r="O327" s="598"/>
      <c r="P327" s="90">
        <v>41</v>
      </c>
      <c r="Q327" s="71">
        <v>0</v>
      </c>
      <c r="R327" s="71">
        <v>0</v>
      </c>
      <c r="S327" s="71">
        <v>0</v>
      </c>
      <c r="T327" s="71">
        <v>0</v>
      </c>
      <c r="U327" s="71">
        <v>0</v>
      </c>
      <c r="V327" s="71">
        <v>0</v>
      </c>
      <c r="X327" s="90">
        <f t="shared" si="95"/>
        <v>0</v>
      </c>
      <c r="Y327" s="90">
        <f t="shared" si="95"/>
        <v>0</v>
      </c>
      <c r="Z327" s="90">
        <f t="shared" si="95"/>
        <v>0</v>
      </c>
      <c r="AA327" s="90">
        <f t="shared" si="93"/>
        <v>0</v>
      </c>
      <c r="AB327" s="90">
        <f t="shared" si="93"/>
        <v>0</v>
      </c>
      <c r="AC327" s="90">
        <f t="shared" si="93"/>
        <v>0</v>
      </c>
      <c r="AE327" s="71">
        <f t="shared" si="96"/>
        <v>0</v>
      </c>
      <c r="AF327" s="71">
        <f t="shared" si="96"/>
        <v>0</v>
      </c>
      <c r="AG327" s="71">
        <f t="shared" si="96"/>
        <v>0</v>
      </c>
      <c r="AH327" s="71">
        <f t="shared" si="94"/>
        <v>0</v>
      </c>
      <c r="AI327" s="71">
        <f t="shared" si="94"/>
        <v>0</v>
      </c>
      <c r="AJ327" s="71">
        <f t="shared" si="94"/>
        <v>0</v>
      </c>
    </row>
    <row r="328" spans="2:36">
      <c r="B328" s="597"/>
      <c r="C328" s="597"/>
      <c r="D328" s="597"/>
      <c r="E328" s="597"/>
      <c r="F328" s="597"/>
      <c r="G328" s="597"/>
      <c r="I328" s="597"/>
      <c r="J328" s="597"/>
      <c r="K328" s="597"/>
      <c r="L328" s="597"/>
      <c r="M328" s="597"/>
      <c r="N328" s="597"/>
      <c r="O328" s="598"/>
      <c r="P328" s="90">
        <v>41</v>
      </c>
      <c r="Q328" s="71">
        <v>0</v>
      </c>
      <c r="R328" s="71">
        <v>0</v>
      </c>
      <c r="S328" s="71">
        <v>0</v>
      </c>
      <c r="T328" s="71">
        <v>0</v>
      </c>
      <c r="U328" s="71">
        <v>0</v>
      </c>
      <c r="V328" s="71">
        <v>0</v>
      </c>
      <c r="X328" s="90">
        <f t="shared" si="95"/>
        <v>0</v>
      </c>
      <c r="Y328" s="90">
        <f t="shared" si="95"/>
        <v>0</v>
      </c>
      <c r="Z328" s="90">
        <f t="shared" si="95"/>
        <v>0</v>
      </c>
      <c r="AA328" s="90">
        <f t="shared" si="93"/>
        <v>0</v>
      </c>
      <c r="AB328" s="90">
        <f t="shared" si="93"/>
        <v>0</v>
      </c>
      <c r="AC328" s="90">
        <f t="shared" si="93"/>
        <v>0</v>
      </c>
      <c r="AE328" s="71">
        <f t="shared" si="96"/>
        <v>0</v>
      </c>
      <c r="AF328" s="71">
        <f t="shared" si="96"/>
        <v>0</v>
      </c>
      <c r="AG328" s="71">
        <f t="shared" si="96"/>
        <v>0</v>
      </c>
      <c r="AH328" s="71">
        <f t="shared" si="94"/>
        <v>0</v>
      </c>
      <c r="AI328" s="71">
        <f t="shared" si="94"/>
        <v>0</v>
      </c>
      <c r="AJ328" s="71">
        <f t="shared" si="94"/>
        <v>0</v>
      </c>
    </row>
    <row r="329" spans="2:36">
      <c r="B329" s="597"/>
      <c r="C329" s="597"/>
      <c r="D329" s="597"/>
      <c r="E329" s="597"/>
      <c r="F329" s="597"/>
      <c r="G329" s="597"/>
      <c r="I329" s="597"/>
      <c r="J329" s="597"/>
      <c r="K329" s="597"/>
      <c r="L329" s="597"/>
      <c r="M329" s="597"/>
      <c r="N329" s="597"/>
      <c r="O329" s="598"/>
      <c r="P329" s="90">
        <v>41</v>
      </c>
      <c r="Q329" s="71">
        <v>0</v>
      </c>
      <c r="R329" s="71">
        <v>0</v>
      </c>
      <c r="S329" s="71">
        <v>0</v>
      </c>
      <c r="T329" s="71">
        <v>0</v>
      </c>
      <c r="U329" s="71">
        <v>0</v>
      </c>
      <c r="V329" s="71">
        <v>0</v>
      </c>
      <c r="X329" s="90">
        <f t="shared" si="95"/>
        <v>0</v>
      </c>
      <c r="Y329" s="90">
        <f t="shared" si="95"/>
        <v>0</v>
      </c>
      <c r="Z329" s="90">
        <f t="shared" si="95"/>
        <v>0</v>
      </c>
      <c r="AA329" s="90">
        <f t="shared" si="93"/>
        <v>0</v>
      </c>
      <c r="AB329" s="90">
        <f t="shared" si="93"/>
        <v>0</v>
      </c>
      <c r="AC329" s="90">
        <f t="shared" si="93"/>
        <v>0</v>
      </c>
      <c r="AE329" s="71">
        <f t="shared" si="96"/>
        <v>0</v>
      </c>
      <c r="AF329" s="71">
        <f t="shared" si="96"/>
        <v>0</v>
      </c>
      <c r="AG329" s="71">
        <f t="shared" si="96"/>
        <v>0</v>
      </c>
      <c r="AH329" s="71">
        <f t="shared" si="94"/>
        <v>0</v>
      </c>
      <c r="AI329" s="71">
        <f t="shared" si="94"/>
        <v>0</v>
      </c>
      <c r="AJ329" s="71">
        <f t="shared" si="94"/>
        <v>0</v>
      </c>
    </row>
    <row r="330" spans="2:36">
      <c r="B330" s="597"/>
      <c r="C330" s="597"/>
      <c r="D330" s="597"/>
      <c r="E330" s="597"/>
      <c r="F330" s="597"/>
      <c r="G330" s="597"/>
      <c r="I330" s="597"/>
      <c r="J330" s="597"/>
      <c r="K330" s="597"/>
      <c r="L330" s="597"/>
      <c r="M330" s="597"/>
      <c r="N330" s="597"/>
      <c r="O330" s="598"/>
      <c r="P330" s="90">
        <v>41</v>
      </c>
      <c r="Q330" s="71">
        <v>0</v>
      </c>
      <c r="R330" s="71">
        <v>0</v>
      </c>
      <c r="S330" s="71">
        <v>0</v>
      </c>
      <c r="T330" s="71">
        <v>0</v>
      </c>
      <c r="U330" s="71">
        <v>0</v>
      </c>
      <c r="V330" s="71">
        <v>0</v>
      </c>
      <c r="X330" s="90">
        <f t="shared" si="95"/>
        <v>0</v>
      </c>
      <c r="Y330" s="90">
        <f t="shared" si="95"/>
        <v>0</v>
      </c>
      <c r="Z330" s="90">
        <f t="shared" si="95"/>
        <v>0</v>
      </c>
      <c r="AA330" s="90">
        <f t="shared" si="93"/>
        <v>0</v>
      </c>
      <c r="AB330" s="90">
        <f t="shared" si="93"/>
        <v>0</v>
      </c>
      <c r="AC330" s="90">
        <f t="shared" si="93"/>
        <v>0</v>
      </c>
      <c r="AE330" s="71">
        <f t="shared" si="96"/>
        <v>0</v>
      </c>
      <c r="AF330" s="71">
        <f t="shared" si="96"/>
        <v>0</v>
      </c>
      <c r="AG330" s="71">
        <f t="shared" si="96"/>
        <v>0</v>
      </c>
      <c r="AH330" s="71">
        <f t="shared" si="94"/>
        <v>0</v>
      </c>
      <c r="AI330" s="71">
        <f t="shared" si="94"/>
        <v>0</v>
      </c>
      <c r="AJ330" s="71">
        <f t="shared" si="94"/>
        <v>0</v>
      </c>
    </row>
    <row r="331" spans="2:36">
      <c r="B331" s="597"/>
      <c r="C331" s="597"/>
      <c r="D331" s="597"/>
      <c r="E331" s="597"/>
      <c r="F331" s="597"/>
      <c r="G331" s="597"/>
      <c r="I331" s="597"/>
      <c r="J331" s="597"/>
      <c r="K331" s="597"/>
      <c r="L331" s="597"/>
      <c r="M331" s="597"/>
      <c r="N331" s="597"/>
      <c r="O331" s="598"/>
      <c r="P331" s="90">
        <v>41</v>
      </c>
      <c r="Q331" s="71">
        <v>0</v>
      </c>
      <c r="R331" s="71">
        <v>0</v>
      </c>
      <c r="S331" s="71">
        <v>0</v>
      </c>
      <c r="T331" s="71">
        <v>0</v>
      </c>
      <c r="U331" s="71">
        <v>0</v>
      </c>
      <c r="V331" s="71">
        <v>0</v>
      </c>
      <c r="X331" s="90">
        <f t="shared" si="95"/>
        <v>0</v>
      </c>
      <c r="Y331" s="90">
        <f t="shared" si="95"/>
        <v>0</v>
      </c>
      <c r="Z331" s="90">
        <f t="shared" si="95"/>
        <v>0</v>
      </c>
      <c r="AA331" s="90">
        <f t="shared" si="93"/>
        <v>0</v>
      </c>
      <c r="AB331" s="90">
        <f t="shared" si="93"/>
        <v>0</v>
      </c>
      <c r="AC331" s="90">
        <f t="shared" si="93"/>
        <v>0</v>
      </c>
      <c r="AE331" s="71">
        <f t="shared" si="96"/>
        <v>0</v>
      </c>
      <c r="AF331" s="71">
        <f t="shared" si="96"/>
        <v>0</v>
      </c>
      <c r="AG331" s="71">
        <f t="shared" si="96"/>
        <v>0</v>
      </c>
      <c r="AH331" s="71">
        <f t="shared" si="94"/>
        <v>0</v>
      </c>
      <c r="AI331" s="71">
        <f t="shared" si="94"/>
        <v>0</v>
      </c>
      <c r="AJ331" s="71">
        <f t="shared" si="94"/>
        <v>0</v>
      </c>
    </row>
    <row r="332" spans="2:36">
      <c r="B332" s="597"/>
      <c r="C332" s="597"/>
      <c r="D332" s="597"/>
      <c r="E332" s="597"/>
      <c r="F332" s="597"/>
      <c r="G332" s="597"/>
      <c r="I332" s="597"/>
      <c r="J332" s="597"/>
      <c r="K332" s="597"/>
      <c r="L332" s="597"/>
      <c r="M332" s="597"/>
      <c r="N332" s="597"/>
      <c r="O332" s="598"/>
      <c r="P332" s="90">
        <v>41</v>
      </c>
      <c r="Q332" s="71">
        <v>0</v>
      </c>
      <c r="R332" s="71">
        <v>0</v>
      </c>
      <c r="S332" s="71">
        <v>0</v>
      </c>
      <c r="T332" s="71">
        <v>0</v>
      </c>
      <c r="U332" s="71">
        <v>0</v>
      </c>
      <c r="V332" s="71">
        <v>0</v>
      </c>
      <c r="X332" s="90">
        <f t="shared" si="95"/>
        <v>0</v>
      </c>
      <c r="Y332" s="90">
        <f t="shared" si="95"/>
        <v>0</v>
      </c>
      <c r="Z332" s="90">
        <f t="shared" si="95"/>
        <v>0</v>
      </c>
      <c r="AA332" s="90">
        <f t="shared" si="93"/>
        <v>0</v>
      </c>
      <c r="AB332" s="90">
        <f t="shared" si="93"/>
        <v>0</v>
      </c>
      <c r="AC332" s="90">
        <f t="shared" si="93"/>
        <v>0</v>
      </c>
      <c r="AE332" s="71">
        <f t="shared" si="96"/>
        <v>0</v>
      </c>
      <c r="AF332" s="71">
        <f t="shared" si="96"/>
        <v>0</v>
      </c>
      <c r="AG332" s="71">
        <f t="shared" si="96"/>
        <v>0</v>
      </c>
      <c r="AH332" s="71">
        <f t="shared" si="94"/>
        <v>0</v>
      </c>
      <c r="AI332" s="71">
        <f t="shared" si="94"/>
        <v>0</v>
      </c>
      <c r="AJ332" s="71">
        <f t="shared" si="94"/>
        <v>0</v>
      </c>
    </row>
    <row r="333" spans="2:36" s="599" customFormat="1">
      <c r="B333" s="600"/>
      <c r="C333" s="600"/>
      <c r="D333" s="600"/>
      <c r="E333" s="600"/>
      <c r="F333" s="600"/>
      <c r="G333" s="600"/>
      <c r="I333" s="600"/>
      <c r="J333" s="600"/>
      <c r="K333" s="600"/>
      <c r="L333" s="600"/>
      <c r="M333" s="600"/>
      <c r="N333" s="600"/>
      <c r="O333" s="601"/>
      <c r="P333" s="599">
        <v>41</v>
      </c>
      <c r="Q333" s="602">
        <v>0</v>
      </c>
      <c r="R333" s="602">
        <v>0</v>
      </c>
      <c r="S333" s="602">
        <v>0</v>
      </c>
      <c r="T333" s="602">
        <v>0</v>
      </c>
      <c r="U333" s="602">
        <v>0</v>
      </c>
      <c r="V333" s="602">
        <v>0</v>
      </c>
      <c r="X333" s="599">
        <f t="shared" si="95"/>
        <v>0</v>
      </c>
      <c r="Y333" s="599">
        <f t="shared" si="95"/>
        <v>0</v>
      </c>
      <c r="Z333" s="599">
        <f t="shared" si="95"/>
        <v>0</v>
      </c>
      <c r="AA333" s="599">
        <f t="shared" si="93"/>
        <v>0</v>
      </c>
      <c r="AB333" s="599">
        <f t="shared" si="93"/>
        <v>0</v>
      </c>
      <c r="AC333" s="599">
        <f t="shared" si="93"/>
        <v>0</v>
      </c>
      <c r="AE333" s="602">
        <f t="shared" si="96"/>
        <v>0</v>
      </c>
      <c r="AF333" s="602">
        <f t="shared" si="96"/>
        <v>0</v>
      </c>
      <c r="AG333" s="602">
        <f t="shared" si="96"/>
        <v>0</v>
      </c>
      <c r="AH333" s="602">
        <f t="shared" si="94"/>
        <v>0</v>
      </c>
      <c r="AI333" s="602">
        <f t="shared" si="94"/>
        <v>0</v>
      </c>
      <c r="AJ333" s="602">
        <f t="shared" si="94"/>
        <v>0</v>
      </c>
    </row>
    <row r="334" spans="2:36" s="605" customFormat="1">
      <c r="B334" s="604"/>
      <c r="C334" s="604"/>
      <c r="D334" s="604"/>
      <c r="E334" s="604"/>
      <c r="F334" s="604"/>
      <c r="G334" s="604"/>
      <c r="I334" s="604"/>
      <c r="J334" s="604"/>
      <c r="K334" s="604"/>
      <c r="L334" s="604"/>
      <c r="M334" s="604"/>
      <c r="N334" s="604"/>
      <c r="O334" s="606"/>
      <c r="P334" s="605">
        <v>42</v>
      </c>
      <c r="Q334" s="607">
        <v>0</v>
      </c>
      <c r="R334" s="607">
        <v>0</v>
      </c>
      <c r="S334" s="607">
        <v>0</v>
      </c>
      <c r="T334" s="607">
        <v>0</v>
      </c>
      <c r="U334" s="607">
        <v>0</v>
      </c>
      <c r="V334" s="607">
        <v>0</v>
      </c>
      <c r="X334" s="605">
        <f t="shared" si="95"/>
        <v>0</v>
      </c>
      <c r="Y334" s="605">
        <f t="shared" si="95"/>
        <v>0</v>
      </c>
      <c r="Z334" s="605">
        <f t="shared" si="95"/>
        <v>0</v>
      </c>
      <c r="AA334" s="605">
        <f t="shared" si="93"/>
        <v>0</v>
      </c>
      <c r="AB334" s="605">
        <f t="shared" si="93"/>
        <v>0</v>
      </c>
      <c r="AC334" s="605">
        <f t="shared" si="93"/>
        <v>0</v>
      </c>
      <c r="AE334" s="607">
        <f t="shared" si="96"/>
        <v>0</v>
      </c>
      <c r="AF334" s="607">
        <f t="shared" si="96"/>
        <v>0</v>
      </c>
      <c r="AG334" s="607">
        <f t="shared" si="96"/>
        <v>0</v>
      </c>
      <c r="AH334" s="607">
        <f t="shared" si="94"/>
        <v>0</v>
      </c>
      <c r="AI334" s="607">
        <f t="shared" si="94"/>
        <v>0</v>
      </c>
      <c r="AJ334" s="607">
        <f t="shared" si="94"/>
        <v>0</v>
      </c>
    </row>
    <row r="335" spans="2:36">
      <c r="B335" s="597"/>
      <c r="C335" s="597"/>
      <c r="D335" s="597"/>
      <c r="E335" s="597"/>
      <c r="F335" s="597"/>
      <c r="G335" s="597"/>
      <c r="I335" s="597"/>
      <c r="J335" s="597"/>
      <c r="K335" s="597"/>
      <c r="L335" s="597"/>
      <c r="M335" s="597"/>
      <c r="N335" s="597"/>
      <c r="O335" s="598"/>
      <c r="P335" s="90">
        <v>42</v>
      </c>
      <c r="Q335" s="71">
        <v>0</v>
      </c>
      <c r="R335" s="71">
        <v>0</v>
      </c>
      <c r="S335" s="71">
        <v>0</v>
      </c>
      <c r="T335" s="71">
        <v>0</v>
      </c>
      <c r="U335" s="71">
        <v>0</v>
      </c>
      <c r="V335" s="71">
        <v>0</v>
      </c>
      <c r="X335" s="90">
        <f t="shared" si="95"/>
        <v>0</v>
      </c>
      <c r="Y335" s="90">
        <f t="shared" si="95"/>
        <v>0</v>
      </c>
      <c r="Z335" s="90">
        <f t="shared" si="95"/>
        <v>0</v>
      </c>
      <c r="AA335" s="90">
        <f t="shared" si="93"/>
        <v>0</v>
      </c>
      <c r="AB335" s="90">
        <f t="shared" si="93"/>
        <v>0</v>
      </c>
      <c r="AC335" s="90">
        <f t="shared" si="93"/>
        <v>0</v>
      </c>
      <c r="AE335" s="71">
        <f t="shared" si="96"/>
        <v>0</v>
      </c>
      <c r="AF335" s="71">
        <f t="shared" si="96"/>
        <v>0</v>
      </c>
      <c r="AG335" s="71">
        <f t="shared" si="96"/>
        <v>0</v>
      </c>
      <c r="AH335" s="71">
        <f t="shared" si="94"/>
        <v>0</v>
      </c>
      <c r="AI335" s="71">
        <f t="shared" si="94"/>
        <v>0</v>
      </c>
      <c r="AJ335" s="71">
        <f t="shared" si="94"/>
        <v>0</v>
      </c>
    </row>
    <row r="336" spans="2:36">
      <c r="B336" s="597"/>
      <c r="C336" s="597"/>
      <c r="D336" s="597"/>
      <c r="E336" s="597"/>
      <c r="F336" s="597"/>
      <c r="G336" s="597"/>
      <c r="I336" s="597"/>
      <c r="J336" s="597"/>
      <c r="K336" s="597"/>
      <c r="L336" s="597"/>
      <c r="M336" s="597"/>
      <c r="N336" s="597"/>
      <c r="O336" s="598"/>
      <c r="P336" s="90">
        <v>42</v>
      </c>
      <c r="Q336" s="71">
        <v>0</v>
      </c>
      <c r="R336" s="71">
        <v>0</v>
      </c>
      <c r="S336" s="71">
        <v>0</v>
      </c>
      <c r="T336" s="71">
        <v>0</v>
      </c>
      <c r="U336" s="71">
        <v>0</v>
      </c>
      <c r="V336" s="71">
        <v>0</v>
      </c>
      <c r="X336" s="90">
        <f t="shared" si="95"/>
        <v>0</v>
      </c>
      <c r="Y336" s="90">
        <f t="shared" si="95"/>
        <v>0</v>
      </c>
      <c r="Z336" s="90">
        <f t="shared" si="95"/>
        <v>0</v>
      </c>
      <c r="AA336" s="90">
        <f t="shared" si="93"/>
        <v>0</v>
      </c>
      <c r="AB336" s="90">
        <f t="shared" si="93"/>
        <v>0</v>
      </c>
      <c r="AC336" s="90">
        <f t="shared" si="93"/>
        <v>0</v>
      </c>
      <c r="AE336" s="71">
        <f t="shared" si="96"/>
        <v>0</v>
      </c>
      <c r="AF336" s="71">
        <f t="shared" si="96"/>
        <v>0</v>
      </c>
      <c r="AG336" s="71">
        <f t="shared" si="96"/>
        <v>0</v>
      </c>
      <c r="AH336" s="71">
        <f t="shared" si="94"/>
        <v>0</v>
      </c>
      <c r="AI336" s="71">
        <f t="shared" si="94"/>
        <v>0</v>
      </c>
      <c r="AJ336" s="71">
        <f t="shared" si="94"/>
        <v>0</v>
      </c>
    </row>
    <row r="337" spans="2:36">
      <c r="B337" s="597"/>
      <c r="C337" s="597"/>
      <c r="D337" s="597"/>
      <c r="E337" s="597"/>
      <c r="F337" s="597"/>
      <c r="G337" s="597"/>
      <c r="I337" s="597"/>
      <c r="J337" s="597"/>
      <c r="K337" s="597"/>
      <c r="L337" s="597"/>
      <c r="M337" s="597"/>
      <c r="N337" s="597"/>
      <c r="O337" s="598"/>
      <c r="P337" s="90">
        <v>42</v>
      </c>
      <c r="Q337" s="71">
        <v>0</v>
      </c>
      <c r="R337" s="71">
        <v>0</v>
      </c>
      <c r="S337" s="71">
        <v>0</v>
      </c>
      <c r="T337" s="71">
        <v>0</v>
      </c>
      <c r="U337" s="71">
        <v>0</v>
      </c>
      <c r="V337" s="71">
        <v>0</v>
      </c>
      <c r="X337" s="90">
        <f t="shared" si="95"/>
        <v>0</v>
      </c>
      <c r="Y337" s="90">
        <f t="shared" si="95"/>
        <v>0</v>
      </c>
      <c r="Z337" s="90">
        <f t="shared" si="95"/>
        <v>0</v>
      </c>
      <c r="AA337" s="90">
        <f t="shared" si="93"/>
        <v>0</v>
      </c>
      <c r="AB337" s="90">
        <f t="shared" si="93"/>
        <v>0</v>
      </c>
      <c r="AC337" s="90">
        <f t="shared" si="93"/>
        <v>0</v>
      </c>
      <c r="AE337" s="71">
        <f t="shared" si="96"/>
        <v>0</v>
      </c>
      <c r="AF337" s="71">
        <f t="shared" si="96"/>
        <v>0</v>
      </c>
      <c r="AG337" s="71">
        <f t="shared" si="96"/>
        <v>0</v>
      </c>
      <c r="AH337" s="71">
        <f t="shared" si="94"/>
        <v>0</v>
      </c>
      <c r="AI337" s="71">
        <f t="shared" si="94"/>
        <v>0</v>
      </c>
      <c r="AJ337" s="71">
        <f t="shared" si="94"/>
        <v>0</v>
      </c>
    </row>
    <row r="338" spans="2:36">
      <c r="B338" s="597"/>
      <c r="C338" s="597"/>
      <c r="D338" s="597"/>
      <c r="E338" s="597"/>
      <c r="F338" s="597"/>
      <c r="G338" s="597"/>
      <c r="I338" s="597"/>
      <c r="J338" s="597"/>
      <c r="K338" s="597"/>
      <c r="L338" s="597"/>
      <c r="M338" s="597"/>
      <c r="N338" s="597"/>
      <c r="O338" s="598"/>
      <c r="P338" s="90">
        <v>42</v>
      </c>
      <c r="Q338" s="71">
        <v>0</v>
      </c>
      <c r="R338" s="71">
        <v>0</v>
      </c>
      <c r="S338" s="71">
        <v>0</v>
      </c>
      <c r="T338" s="71">
        <v>0</v>
      </c>
      <c r="U338" s="71">
        <v>0</v>
      </c>
      <c r="V338" s="71">
        <v>0</v>
      </c>
      <c r="X338" s="90">
        <f t="shared" si="95"/>
        <v>0</v>
      </c>
      <c r="Y338" s="90">
        <f t="shared" si="95"/>
        <v>0</v>
      </c>
      <c r="Z338" s="90">
        <f t="shared" si="95"/>
        <v>0</v>
      </c>
      <c r="AA338" s="90">
        <f t="shared" si="93"/>
        <v>0</v>
      </c>
      <c r="AB338" s="90">
        <f t="shared" si="93"/>
        <v>0</v>
      </c>
      <c r="AC338" s="90">
        <f t="shared" si="93"/>
        <v>0</v>
      </c>
      <c r="AE338" s="71">
        <f t="shared" si="96"/>
        <v>0</v>
      </c>
      <c r="AF338" s="71">
        <f t="shared" si="96"/>
        <v>0</v>
      </c>
      <c r="AG338" s="71">
        <f t="shared" si="96"/>
        <v>0</v>
      </c>
      <c r="AH338" s="71">
        <f t="shared" si="94"/>
        <v>0</v>
      </c>
      <c r="AI338" s="71">
        <f t="shared" si="94"/>
        <v>0</v>
      </c>
      <c r="AJ338" s="71">
        <f t="shared" si="94"/>
        <v>0</v>
      </c>
    </row>
    <row r="339" spans="2:36">
      <c r="B339" s="597"/>
      <c r="C339" s="597"/>
      <c r="D339" s="597"/>
      <c r="E339" s="597"/>
      <c r="F339" s="597"/>
      <c r="G339" s="597"/>
      <c r="I339" s="597"/>
      <c r="J339" s="597"/>
      <c r="K339" s="597"/>
      <c r="L339" s="597"/>
      <c r="M339" s="597"/>
      <c r="N339" s="597"/>
      <c r="O339" s="598"/>
      <c r="P339" s="90">
        <v>42</v>
      </c>
      <c r="Q339" s="71">
        <v>0</v>
      </c>
      <c r="R339" s="71">
        <v>0</v>
      </c>
      <c r="S339" s="71">
        <v>0</v>
      </c>
      <c r="T339" s="71">
        <v>0</v>
      </c>
      <c r="U339" s="71">
        <v>0</v>
      </c>
      <c r="V339" s="71">
        <v>0</v>
      </c>
      <c r="X339" s="90">
        <f t="shared" si="95"/>
        <v>0</v>
      </c>
      <c r="Y339" s="90">
        <f t="shared" si="95"/>
        <v>0</v>
      </c>
      <c r="Z339" s="90">
        <f t="shared" si="95"/>
        <v>0</v>
      </c>
      <c r="AA339" s="90">
        <f t="shared" si="93"/>
        <v>0</v>
      </c>
      <c r="AB339" s="90">
        <f t="shared" si="93"/>
        <v>0</v>
      </c>
      <c r="AC339" s="90">
        <f t="shared" si="93"/>
        <v>0</v>
      </c>
      <c r="AE339" s="71">
        <f t="shared" si="96"/>
        <v>0</v>
      </c>
      <c r="AF339" s="71">
        <f t="shared" si="96"/>
        <v>0</v>
      </c>
      <c r="AG339" s="71">
        <f t="shared" si="96"/>
        <v>0</v>
      </c>
      <c r="AH339" s="71">
        <f t="shared" si="94"/>
        <v>0</v>
      </c>
      <c r="AI339" s="71">
        <f t="shared" si="94"/>
        <v>0</v>
      </c>
      <c r="AJ339" s="71">
        <f t="shared" si="94"/>
        <v>0</v>
      </c>
    </row>
    <row r="340" spans="2:36">
      <c r="B340" s="597"/>
      <c r="C340" s="597"/>
      <c r="D340" s="597"/>
      <c r="E340" s="597"/>
      <c r="F340" s="597"/>
      <c r="G340" s="597"/>
      <c r="I340" s="597"/>
      <c r="J340" s="597"/>
      <c r="K340" s="597"/>
      <c r="L340" s="597"/>
      <c r="M340" s="597"/>
      <c r="N340" s="597"/>
      <c r="O340" s="598"/>
      <c r="P340" s="90">
        <v>42</v>
      </c>
      <c r="Q340" s="71">
        <v>0</v>
      </c>
      <c r="R340" s="71">
        <v>0</v>
      </c>
      <c r="S340" s="71">
        <v>0</v>
      </c>
      <c r="T340" s="71">
        <v>0</v>
      </c>
      <c r="U340" s="71">
        <v>0</v>
      </c>
      <c r="V340" s="71">
        <v>0</v>
      </c>
      <c r="X340" s="90">
        <f t="shared" si="95"/>
        <v>0</v>
      </c>
      <c r="Y340" s="90">
        <f t="shared" si="95"/>
        <v>0</v>
      </c>
      <c r="Z340" s="90">
        <f t="shared" si="95"/>
        <v>0</v>
      </c>
      <c r="AA340" s="90">
        <f t="shared" si="93"/>
        <v>0</v>
      </c>
      <c r="AB340" s="90">
        <f t="shared" si="93"/>
        <v>0</v>
      </c>
      <c r="AC340" s="90">
        <f t="shared" si="93"/>
        <v>0</v>
      </c>
      <c r="AE340" s="71">
        <f t="shared" si="96"/>
        <v>0</v>
      </c>
      <c r="AF340" s="71">
        <f t="shared" si="96"/>
        <v>0</v>
      </c>
      <c r="AG340" s="71">
        <f t="shared" si="96"/>
        <v>0</v>
      </c>
      <c r="AH340" s="71">
        <f t="shared" si="94"/>
        <v>0</v>
      </c>
      <c r="AI340" s="71">
        <f t="shared" si="94"/>
        <v>0</v>
      </c>
      <c r="AJ340" s="71">
        <f t="shared" si="94"/>
        <v>0</v>
      </c>
    </row>
    <row r="341" spans="2:36" s="599" customFormat="1">
      <c r="B341" s="600"/>
      <c r="C341" s="600"/>
      <c r="D341" s="600"/>
      <c r="E341" s="600"/>
      <c r="F341" s="600"/>
      <c r="G341" s="600"/>
      <c r="I341" s="600"/>
      <c r="J341" s="600"/>
      <c r="K341" s="600"/>
      <c r="L341" s="600"/>
      <c r="M341" s="600"/>
      <c r="N341" s="600"/>
      <c r="O341" s="601"/>
      <c r="P341" s="599">
        <v>42</v>
      </c>
      <c r="Q341" s="602">
        <v>0</v>
      </c>
      <c r="R341" s="602">
        <v>0</v>
      </c>
      <c r="S341" s="602">
        <v>0</v>
      </c>
      <c r="T341" s="602">
        <v>0</v>
      </c>
      <c r="U341" s="602">
        <v>0</v>
      </c>
      <c r="V341" s="602">
        <v>0</v>
      </c>
      <c r="X341" s="599">
        <f t="shared" si="95"/>
        <v>0</v>
      </c>
      <c r="Y341" s="599">
        <f t="shared" si="95"/>
        <v>0</v>
      </c>
      <c r="Z341" s="599">
        <f t="shared" si="95"/>
        <v>0</v>
      </c>
      <c r="AA341" s="599">
        <f t="shared" si="93"/>
        <v>0</v>
      </c>
      <c r="AB341" s="599">
        <f t="shared" si="93"/>
        <v>0</v>
      </c>
      <c r="AC341" s="599">
        <f t="shared" si="93"/>
        <v>0</v>
      </c>
      <c r="AE341" s="602">
        <f t="shared" si="96"/>
        <v>0</v>
      </c>
      <c r="AF341" s="602">
        <f t="shared" si="96"/>
        <v>0</v>
      </c>
      <c r="AG341" s="602">
        <f t="shared" si="96"/>
        <v>0</v>
      </c>
      <c r="AH341" s="602">
        <f t="shared" si="94"/>
        <v>0</v>
      </c>
      <c r="AI341" s="602">
        <f t="shared" si="94"/>
        <v>0</v>
      </c>
      <c r="AJ341" s="602">
        <f t="shared" si="94"/>
        <v>0</v>
      </c>
    </row>
    <row r="342" spans="2:36" s="605" customFormat="1">
      <c r="B342" s="604"/>
      <c r="C342" s="604"/>
      <c r="D342" s="604"/>
      <c r="E342" s="604"/>
      <c r="F342" s="604"/>
      <c r="G342" s="604"/>
      <c r="I342" s="604"/>
      <c r="J342" s="604"/>
      <c r="K342" s="604"/>
      <c r="L342" s="604"/>
      <c r="M342" s="604"/>
      <c r="N342" s="604"/>
      <c r="O342" s="606"/>
      <c r="P342" s="605">
        <v>43</v>
      </c>
      <c r="Q342" s="607">
        <v>0</v>
      </c>
      <c r="R342" s="607">
        <v>0</v>
      </c>
      <c r="S342" s="607">
        <v>0</v>
      </c>
      <c r="T342" s="607">
        <v>0</v>
      </c>
      <c r="U342" s="607">
        <v>0</v>
      </c>
      <c r="V342" s="607">
        <v>0</v>
      </c>
      <c r="X342" s="605">
        <f t="shared" si="95"/>
        <v>0</v>
      </c>
      <c r="Y342" s="605">
        <f t="shared" si="95"/>
        <v>0</v>
      </c>
      <c r="Z342" s="605">
        <f t="shared" si="95"/>
        <v>0</v>
      </c>
      <c r="AA342" s="605">
        <f t="shared" si="95"/>
        <v>0</v>
      </c>
      <c r="AB342" s="605">
        <f t="shared" si="95"/>
        <v>0</v>
      </c>
      <c r="AC342" s="605">
        <f t="shared" si="95"/>
        <v>0</v>
      </c>
      <c r="AE342" s="607">
        <f t="shared" si="96"/>
        <v>0</v>
      </c>
      <c r="AF342" s="607">
        <f t="shared" si="96"/>
        <v>0</v>
      </c>
      <c r="AG342" s="607">
        <f t="shared" si="96"/>
        <v>0</v>
      </c>
      <c r="AH342" s="607">
        <f t="shared" si="96"/>
        <v>0</v>
      </c>
      <c r="AI342" s="607">
        <f t="shared" si="96"/>
        <v>0</v>
      </c>
      <c r="AJ342" s="607">
        <f t="shared" si="96"/>
        <v>0</v>
      </c>
    </row>
    <row r="343" spans="2:36">
      <c r="B343" s="597"/>
      <c r="C343" s="597"/>
      <c r="D343" s="597"/>
      <c r="E343" s="597"/>
      <c r="F343" s="597"/>
      <c r="G343" s="597"/>
      <c r="I343" s="597"/>
      <c r="J343" s="597"/>
      <c r="K343" s="597"/>
      <c r="L343" s="597"/>
      <c r="M343" s="597"/>
      <c r="N343" s="597"/>
      <c r="O343" s="598"/>
      <c r="P343" s="90">
        <v>43</v>
      </c>
      <c r="Q343" s="71">
        <v>0</v>
      </c>
      <c r="R343" s="71">
        <v>0</v>
      </c>
      <c r="S343" s="71">
        <v>0</v>
      </c>
      <c r="T343" s="71">
        <v>0</v>
      </c>
      <c r="U343" s="71">
        <v>0</v>
      </c>
      <c r="V343" s="71">
        <v>0</v>
      </c>
      <c r="X343" s="90">
        <f t="shared" ref="X343:AC385" si="97">B343*Q343</f>
        <v>0</v>
      </c>
      <c r="Y343" s="90">
        <f t="shared" si="97"/>
        <v>0</v>
      </c>
      <c r="Z343" s="90">
        <f t="shared" si="97"/>
        <v>0</v>
      </c>
      <c r="AA343" s="90">
        <f t="shared" si="97"/>
        <v>0</v>
      </c>
      <c r="AB343" s="90">
        <f t="shared" si="97"/>
        <v>0</v>
      </c>
      <c r="AC343" s="90">
        <f t="shared" si="97"/>
        <v>0</v>
      </c>
      <c r="AE343" s="71">
        <f t="shared" ref="AE343:AJ385" si="98">I343*Q343</f>
        <v>0</v>
      </c>
      <c r="AF343" s="71">
        <f t="shared" si="98"/>
        <v>0</v>
      </c>
      <c r="AG343" s="71">
        <f t="shared" si="98"/>
        <v>0</v>
      </c>
      <c r="AH343" s="71">
        <f t="shared" si="98"/>
        <v>0</v>
      </c>
      <c r="AI343" s="71">
        <f t="shared" si="98"/>
        <v>0</v>
      </c>
      <c r="AJ343" s="71">
        <f t="shared" si="98"/>
        <v>0</v>
      </c>
    </row>
    <row r="344" spans="2:36">
      <c r="B344" s="597"/>
      <c r="C344" s="597"/>
      <c r="D344" s="597"/>
      <c r="E344" s="597"/>
      <c r="F344" s="597"/>
      <c r="G344" s="597"/>
      <c r="I344" s="597"/>
      <c r="J344" s="597"/>
      <c r="K344" s="597"/>
      <c r="L344" s="597"/>
      <c r="M344" s="597"/>
      <c r="N344" s="597"/>
      <c r="O344" s="598"/>
      <c r="P344" s="90">
        <v>43</v>
      </c>
      <c r="Q344" s="71">
        <v>0</v>
      </c>
      <c r="R344" s="71">
        <v>0</v>
      </c>
      <c r="S344" s="71">
        <v>0</v>
      </c>
      <c r="T344" s="71">
        <v>0</v>
      </c>
      <c r="U344" s="71">
        <v>0</v>
      </c>
      <c r="V344" s="71">
        <v>0</v>
      </c>
      <c r="X344" s="90">
        <f t="shared" si="97"/>
        <v>0</v>
      </c>
      <c r="Y344" s="90">
        <f t="shared" si="97"/>
        <v>0</v>
      </c>
      <c r="Z344" s="90">
        <f t="shared" si="97"/>
        <v>0</v>
      </c>
      <c r="AA344" s="90">
        <f t="shared" si="97"/>
        <v>0</v>
      </c>
      <c r="AB344" s="90">
        <f t="shared" si="97"/>
        <v>0</v>
      </c>
      <c r="AC344" s="90">
        <f t="shared" si="97"/>
        <v>0</v>
      </c>
      <c r="AE344" s="71">
        <f t="shared" si="98"/>
        <v>0</v>
      </c>
      <c r="AF344" s="71">
        <f t="shared" si="98"/>
        <v>0</v>
      </c>
      <c r="AG344" s="71">
        <f t="shared" si="98"/>
        <v>0</v>
      </c>
      <c r="AH344" s="71">
        <f t="shared" si="98"/>
        <v>0</v>
      </c>
      <c r="AI344" s="71">
        <f t="shared" si="98"/>
        <v>0</v>
      </c>
      <c r="AJ344" s="71">
        <f t="shared" si="98"/>
        <v>0</v>
      </c>
    </row>
    <row r="345" spans="2:36">
      <c r="B345" s="597"/>
      <c r="C345" s="597"/>
      <c r="D345" s="597"/>
      <c r="E345" s="597"/>
      <c r="F345" s="597"/>
      <c r="G345" s="597"/>
      <c r="I345" s="597"/>
      <c r="J345" s="597"/>
      <c r="K345" s="597"/>
      <c r="L345" s="597"/>
      <c r="M345" s="597"/>
      <c r="N345" s="597"/>
      <c r="O345" s="598"/>
      <c r="P345" s="90">
        <v>43</v>
      </c>
      <c r="Q345" s="71">
        <v>0</v>
      </c>
      <c r="R345" s="71">
        <v>0</v>
      </c>
      <c r="S345" s="71">
        <v>0</v>
      </c>
      <c r="T345" s="71">
        <v>0</v>
      </c>
      <c r="U345" s="71">
        <v>0</v>
      </c>
      <c r="V345" s="71">
        <v>0</v>
      </c>
      <c r="X345" s="90">
        <f t="shared" si="97"/>
        <v>0</v>
      </c>
      <c r="Y345" s="90">
        <f t="shared" si="97"/>
        <v>0</v>
      </c>
      <c r="Z345" s="90">
        <f t="shared" si="97"/>
        <v>0</v>
      </c>
      <c r="AA345" s="90">
        <f t="shared" si="97"/>
        <v>0</v>
      </c>
      <c r="AB345" s="90">
        <f t="shared" si="97"/>
        <v>0</v>
      </c>
      <c r="AC345" s="90">
        <f t="shared" si="97"/>
        <v>0</v>
      </c>
      <c r="AE345" s="71">
        <f t="shared" si="98"/>
        <v>0</v>
      </c>
      <c r="AF345" s="71">
        <f t="shared" si="98"/>
        <v>0</v>
      </c>
      <c r="AG345" s="71">
        <f t="shared" si="98"/>
        <v>0</v>
      </c>
      <c r="AH345" s="71">
        <f t="shared" si="98"/>
        <v>0</v>
      </c>
      <c r="AI345" s="71">
        <f t="shared" si="98"/>
        <v>0</v>
      </c>
      <c r="AJ345" s="71">
        <f t="shared" si="98"/>
        <v>0</v>
      </c>
    </row>
    <row r="346" spans="2:36">
      <c r="B346" s="597"/>
      <c r="C346" s="597"/>
      <c r="D346" s="597"/>
      <c r="E346" s="597"/>
      <c r="F346" s="597"/>
      <c r="G346" s="597"/>
      <c r="I346" s="597"/>
      <c r="J346" s="597"/>
      <c r="K346" s="597"/>
      <c r="L346" s="597"/>
      <c r="M346" s="597"/>
      <c r="N346" s="597"/>
      <c r="O346" s="598"/>
      <c r="P346" s="90">
        <v>43</v>
      </c>
      <c r="Q346" s="71">
        <v>0</v>
      </c>
      <c r="R346" s="71">
        <v>0</v>
      </c>
      <c r="S346" s="71">
        <v>0</v>
      </c>
      <c r="T346" s="71">
        <v>0</v>
      </c>
      <c r="U346" s="71">
        <v>0</v>
      </c>
      <c r="V346" s="71">
        <v>0</v>
      </c>
      <c r="X346" s="90">
        <f t="shared" si="97"/>
        <v>0</v>
      </c>
      <c r="Y346" s="90">
        <f t="shared" si="97"/>
        <v>0</v>
      </c>
      <c r="Z346" s="90">
        <f t="shared" si="97"/>
        <v>0</v>
      </c>
      <c r="AA346" s="90">
        <f t="shared" si="97"/>
        <v>0</v>
      </c>
      <c r="AB346" s="90">
        <f t="shared" si="97"/>
        <v>0</v>
      </c>
      <c r="AC346" s="90">
        <f t="shared" si="97"/>
        <v>0</v>
      </c>
      <c r="AE346" s="71">
        <f t="shared" si="98"/>
        <v>0</v>
      </c>
      <c r="AF346" s="71">
        <f t="shared" si="98"/>
        <v>0</v>
      </c>
      <c r="AG346" s="71">
        <f t="shared" si="98"/>
        <v>0</v>
      </c>
      <c r="AH346" s="71">
        <f t="shared" si="98"/>
        <v>0</v>
      </c>
      <c r="AI346" s="71">
        <f t="shared" si="98"/>
        <v>0</v>
      </c>
      <c r="AJ346" s="71">
        <f t="shared" si="98"/>
        <v>0</v>
      </c>
    </row>
    <row r="347" spans="2:36">
      <c r="B347" s="597"/>
      <c r="C347" s="597"/>
      <c r="D347" s="597"/>
      <c r="E347" s="597"/>
      <c r="F347" s="597"/>
      <c r="G347" s="597"/>
      <c r="I347" s="597"/>
      <c r="J347" s="597"/>
      <c r="K347" s="597"/>
      <c r="L347" s="597"/>
      <c r="M347" s="597"/>
      <c r="N347" s="597"/>
      <c r="O347" s="598"/>
      <c r="P347" s="90">
        <v>43</v>
      </c>
      <c r="Q347" s="71">
        <v>0</v>
      </c>
      <c r="R347" s="71">
        <v>0</v>
      </c>
      <c r="S347" s="71">
        <v>0</v>
      </c>
      <c r="T347" s="71">
        <v>0</v>
      </c>
      <c r="U347" s="71">
        <v>0</v>
      </c>
      <c r="V347" s="71">
        <v>0</v>
      </c>
      <c r="X347" s="90">
        <f t="shared" si="97"/>
        <v>0</v>
      </c>
      <c r="Y347" s="90">
        <f t="shared" si="97"/>
        <v>0</v>
      </c>
      <c r="Z347" s="90">
        <f t="shared" si="97"/>
        <v>0</v>
      </c>
      <c r="AA347" s="90">
        <f t="shared" si="97"/>
        <v>0</v>
      </c>
      <c r="AB347" s="90">
        <f t="shared" si="97"/>
        <v>0</v>
      </c>
      <c r="AC347" s="90">
        <f t="shared" si="97"/>
        <v>0</v>
      </c>
      <c r="AE347" s="71">
        <f t="shared" si="98"/>
        <v>0</v>
      </c>
      <c r="AF347" s="71">
        <f t="shared" si="98"/>
        <v>0</v>
      </c>
      <c r="AG347" s="71">
        <f t="shared" si="98"/>
        <v>0</v>
      </c>
      <c r="AH347" s="71">
        <f t="shared" si="98"/>
        <v>0</v>
      </c>
      <c r="AI347" s="71">
        <f t="shared" si="98"/>
        <v>0</v>
      </c>
      <c r="AJ347" s="71">
        <f t="shared" si="98"/>
        <v>0</v>
      </c>
    </row>
    <row r="348" spans="2:36">
      <c r="B348" s="597"/>
      <c r="C348" s="597"/>
      <c r="D348" s="597"/>
      <c r="E348" s="597"/>
      <c r="F348" s="597"/>
      <c r="G348" s="597"/>
      <c r="I348" s="597"/>
      <c r="J348" s="597"/>
      <c r="K348" s="597"/>
      <c r="L348" s="597"/>
      <c r="M348" s="597"/>
      <c r="N348" s="597"/>
      <c r="O348" s="598"/>
      <c r="P348" s="90">
        <v>43</v>
      </c>
      <c r="Q348" s="71">
        <v>0</v>
      </c>
      <c r="R348" s="71">
        <v>0</v>
      </c>
      <c r="S348" s="71">
        <v>0</v>
      </c>
      <c r="T348" s="71">
        <v>0</v>
      </c>
      <c r="U348" s="71">
        <v>0</v>
      </c>
      <c r="V348" s="71">
        <v>0</v>
      </c>
      <c r="X348" s="90">
        <f t="shared" si="97"/>
        <v>0</v>
      </c>
      <c r="Y348" s="90">
        <f t="shared" si="97"/>
        <v>0</v>
      </c>
      <c r="Z348" s="90">
        <f t="shared" si="97"/>
        <v>0</v>
      </c>
      <c r="AA348" s="90">
        <f t="shared" si="97"/>
        <v>0</v>
      </c>
      <c r="AB348" s="90">
        <f t="shared" si="97"/>
        <v>0</v>
      </c>
      <c r="AC348" s="90">
        <f t="shared" si="97"/>
        <v>0</v>
      </c>
      <c r="AE348" s="71">
        <f t="shared" si="98"/>
        <v>0</v>
      </c>
      <c r="AF348" s="71">
        <f t="shared" si="98"/>
        <v>0</v>
      </c>
      <c r="AG348" s="71">
        <f t="shared" si="98"/>
        <v>0</v>
      </c>
      <c r="AH348" s="71">
        <f t="shared" si="98"/>
        <v>0</v>
      </c>
      <c r="AI348" s="71">
        <f t="shared" si="98"/>
        <v>0</v>
      </c>
      <c r="AJ348" s="71">
        <f t="shared" si="98"/>
        <v>0</v>
      </c>
    </row>
    <row r="349" spans="2:36" s="599" customFormat="1">
      <c r="B349" s="600"/>
      <c r="C349" s="600"/>
      <c r="D349" s="600"/>
      <c r="E349" s="600"/>
      <c r="F349" s="600"/>
      <c r="G349" s="600"/>
      <c r="I349" s="600"/>
      <c r="J349" s="600"/>
      <c r="K349" s="600"/>
      <c r="L349" s="600"/>
      <c r="M349" s="600"/>
      <c r="N349" s="600"/>
      <c r="O349" s="601"/>
      <c r="P349" s="599">
        <v>43</v>
      </c>
      <c r="Q349" s="602">
        <v>0</v>
      </c>
      <c r="R349" s="602">
        <v>0</v>
      </c>
      <c r="S349" s="602">
        <v>0</v>
      </c>
      <c r="T349" s="602">
        <v>0</v>
      </c>
      <c r="U349" s="602">
        <v>0</v>
      </c>
      <c r="V349" s="602">
        <v>0</v>
      </c>
      <c r="X349" s="599">
        <f t="shared" si="97"/>
        <v>0</v>
      </c>
      <c r="Y349" s="599">
        <f t="shared" si="97"/>
        <v>0</v>
      </c>
      <c r="Z349" s="599">
        <f t="shared" si="97"/>
        <v>0</v>
      </c>
      <c r="AA349" s="599">
        <f t="shared" si="97"/>
        <v>0</v>
      </c>
      <c r="AB349" s="599">
        <f t="shared" si="97"/>
        <v>0</v>
      </c>
      <c r="AC349" s="599">
        <f t="shared" si="97"/>
        <v>0</v>
      </c>
      <c r="AE349" s="602">
        <f t="shared" si="98"/>
        <v>0</v>
      </c>
      <c r="AF349" s="602">
        <f t="shared" si="98"/>
        <v>0</v>
      </c>
      <c r="AG349" s="602">
        <f t="shared" si="98"/>
        <v>0</v>
      </c>
      <c r="AH349" s="602">
        <f t="shared" si="98"/>
        <v>0</v>
      </c>
      <c r="AI349" s="602">
        <f t="shared" si="98"/>
        <v>0</v>
      </c>
      <c r="AJ349" s="602">
        <f t="shared" si="98"/>
        <v>0</v>
      </c>
    </row>
    <row r="350" spans="2:36" s="605" customFormat="1">
      <c r="B350" s="604"/>
      <c r="C350" s="604"/>
      <c r="D350" s="604"/>
      <c r="E350" s="604"/>
      <c r="F350" s="604"/>
      <c r="G350" s="604"/>
      <c r="I350" s="604"/>
      <c r="J350" s="604"/>
      <c r="K350" s="604"/>
      <c r="L350" s="604"/>
      <c r="M350" s="604"/>
      <c r="N350" s="604"/>
      <c r="O350" s="606"/>
      <c r="P350" s="605">
        <v>44</v>
      </c>
      <c r="Q350" s="607">
        <v>0</v>
      </c>
      <c r="R350" s="607">
        <v>0</v>
      </c>
      <c r="S350" s="607">
        <v>0</v>
      </c>
      <c r="T350" s="607">
        <v>0</v>
      </c>
      <c r="U350" s="607">
        <v>0</v>
      </c>
      <c r="V350" s="607">
        <v>0</v>
      </c>
      <c r="X350" s="605">
        <f t="shared" si="97"/>
        <v>0</v>
      </c>
      <c r="Y350" s="605">
        <f t="shared" si="97"/>
        <v>0</v>
      </c>
      <c r="Z350" s="605">
        <f t="shared" si="97"/>
        <v>0</v>
      </c>
      <c r="AA350" s="605">
        <f t="shared" si="97"/>
        <v>0</v>
      </c>
      <c r="AB350" s="605">
        <f t="shared" si="97"/>
        <v>0</v>
      </c>
      <c r="AC350" s="605">
        <f t="shared" si="97"/>
        <v>0</v>
      </c>
      <c r="AE350" s="607">
        <f t="shared" si="98"/>
        <v>0</v>
      </c>
      <c r="AF350" s="607">
        <f t="shared" si="98"/>
        <v>0</v>
      </c>
      <c r="AG350" s="607">
        <f t="shared" si="98"/>
        <v>0</v>
      </c>
      <c r="AH350" s="607">
        <f t="shared" si="98"/>
        <v>0</v>
      </c>
      <c r="AI350" s="607">
        <f t="shared" si="98"/>
        <v>0</v>
      </c>
      <c r="AJ350" s="607">
        <f t="shared" si="98"/>
        <v>0</v>
      </c>
    </row>
    <row r="351" spans="2:36">
      <c r="B351" s="597"/>
      <c r="C351" s="597"/>
      <c r="D351" s="597"/>
      <c r="E351" s="597"/>
      <c r="F351" s="597"/>
      <c r="G351" s="597"/>
      <c r="I351" s="597"/>
      <c r="J351" s="597"/>
      <c r="K351" s="597"/>
      <c r="L351" s="597"/>
      <c r="M351" s="597"/>
      <c r="N351" s="597"/>
      <c r="O351" s="598"/>
      <c r="P351" s="90">
        <v>44</v>
      </c>
      <c r="Q351" s="71">
        <v>0</v>
      </c>
      <c r="R351" s="71">
        <v>0</v>
      </c>
      <c r="S351" s="71">
        <v>0</v>
      </c>
      <c r="T351" s="71">
        <v>0</v>
      </c>
      <c r="U351" s="71">
        <v>0</v>
      </c>
      <c r="V351" s="71">
        <v>0</v>
      </c>
      <c r="X351" s="90">
        <f t="shared" si="97"/>
        <v>0</v>
      </c>
      <c r="Y351" s="90">
        <f t="shared" si="97"/>
        <v>0</v>
      </c>
      <c r="Z351" s="90">
        <f t="shared" si="97"/>
        <v>0</v>
      </c>
      <c r="AA351" s="90">
        <f t="shared" si="97"/>
        <v>0</v>
      </c>
      <c r="AB351" s="90">
        <f t="shared" si="97"/>
        <v>0</v>
      </c>
      <c r="AC351" s="90">
        <f t="shared" si="97"/>
        <v>0</v>
      </c>
      <c r="AE351" s="71">
        <f t="shared" si="98"/>
        <v>0</v>
      </c>
      <c r="AF351" s="71">
        <f t="shared" si="98"/>
        <v>0</v>
      </c>
      <c r="AG351" s="71">
        <f t="shared" si="98"/>
        <v>0</v>
      </c>
      <c r="AH351" s="71">
        <f t="shared" si="98"/>
        <v>0</v>
      </c>
      <c r="AI351" s="71">
        <f t="shared" si="98"/>
        <v>0</v>
      </c>
      <c r="AJ351" s="71">
        <f t="shared" si="98"/>
        <v>0</v>
      </c>
    </row>
    <row r="352" spans="2:36">
      <c r="B352" s="597"/>
      <c r="C352" s="597"/>
      <c r="D352" s="597"/>
      <c r="E352" s="597"/>
      <c r="F352" s="597"/>
      <c r="G352" s="597"/>
      <c r="I352" s="597"/>
      <c r="J352" s="597"/>
      <c r="K352" s="597"/>
      <c r="L352" s="597"/>
      <c r="M352" s="597"/>
      <c r="N352" s="597"/>
      <c r="O352" s="598"/>
      <c r="P352" s="90">
        <v>44</v>
      </c>
      <c r="Q352" s="71">
        <v>0</v>
      </c>
      <c r="R352" s="71">
        <v>0</v>
      </c>
      <c r="S352" s="71">
        <v>0</v>
      </c>
      <c r="T352" s="71">
        <v>0</v>
      </c>
      <c r="U352" s="71">
        <v>0</v>
      </c>
      <c r="V352" s="71">
        <v>0</v>
      </c>
      <c r="X352" s="90">
        <f t="shared" si="97"/>
        <v>0</v>
      </c>
      <c r="Y352" s="90">
        <f t="shared" si="97"/>
        <v>0</v>
      </c>
      <c r="Z352" s="90">
        <f t="shared" si="97"/>
        <v>0</v>
      </c>
      <c r="AA352" s="90">
        <f t="shared" si="97"/>
        <v>0</v>
      </c>
      <c r="AB352" s="90">
        <f t="shared" si="97"/>
        <v>0</v>
      </c>
      <c r="AC352" s="90">
        <f t="shared" si="97"/>
        <v>0</v>
      </c>
      <c r="AE352" s="71">
        <f t="shared" si="98"/>
        <v>0</v>
      </c>
      <c r="AF352" s="71">
        <f t="shared" si="98"/>
        <v>0</v>
      </c>
      <c r="AG352" s="71">
        <f t="shared" si="98"/>
        <v>0</v>
      </c>
      <c r="AH352" s="71">
        <f t="shared" si="98"/>
        <v>0</v>
      </c>
      <c r="AI352" s="71">
        <f t="shared" si="98"/>
        <v>0</v>
      </c>
      <c r="AJ352" s="71">
        <f t="shared" si="98"/>
        <v>0</v>
      </c>
    </row>
    <row r="353" spans="2:36">
      <c r="B353" s="597"/>
      <c r="C353" s="597"/>
      <c r="D353" s="597"/>
      <c r="E353" s="597"/>
      <c r="F353" s="597"/>
      <c r="G353" s="597"/>
      <c r="I353" s="597"/>
      <c r="J353" s="597"/>
      <c r="K353" s="597"/>
      <c r="L353" s="597"/>
      <c r="M353" s="597"/>
      <c r="N353" s="597"/>
      <c r="O353" s="598"/>
      <c r="P353" s="90">
        <v>44</v>
      </c>
      <c r="Q353" s="71">
        <v>0</v>
      </c>
      <c r="R353" s="71">
        <v>0</v>
      </c>
      <c r="S353" s="71">
        <v>0</v>
      </c>
      <c r="T353" s="71">
        <v>0</v>
      </c>
      <c r="U353" s="71">
        <v>0</v>
      </c>
      <c r="V353" s="71">
        <v>0</v>
      </c>
      <c r="X353" s="90">
        <f t="shared" si="97"/>
        <v>0</v>
      </c>
      <c r="Y353" s="90">
        <f t="shared" si="97"/>
        <v>0</v>
      </c>
      <c r="Z353" s="90">
        <f t="shared" si="97"/>
        <v>0</v>
      </c>
      <c r="AA353" s="90">
        <f t="shared" si="97"/>
        <v>0</v>
      </c>
      <c r="AB353" s="90">
        <f t="shared" si="97"/>
        <v>0</v>
      </c>
      <c r="AC353" s="90">
        <f t="shared" si="97"/>
        <v>0</v>
      </c>
      <c r="AE353" s="71">
        <f t="shared" si="98"/>
        <v>0</v>
      </c>
      <c r="AF353" s="71">
        <f t="shared" si="98"/>
        <v>0</v>
      </c>
      <c r="AG353" s="71">
        <f t="shared" si="98"/>
        <v>0</v>
      </c>
      <c r="AH353" s="71">
        <f t="shared" si="98"/>
        <v>0</v>
      </c>
      <c r="AI353" s="71">
        <f t="shared" si="98"/>
        <v>0</v>
      </c>
      <c r="AJ353" s="71">
        <f t="shared" si="98"/>
        <v>0</v>
      </c>
    </row>
    <row r="354" spans="2:36">
      <c r="B354" s="597"/>
      <c r="C354" s="597"/>
      <c r="D354" s="597"/>
      <c r="E354" s="597"/>
      <c r="F354" s="597"/>
      <c r="G354" s="597"/>
      <c r="I354" s="597"/>
      <c r="J354" s="597"/>
      <c r="K354" s="597"/>
      <c r="L354" s="597"/>
      <c r="M354" s="597"/>
      <c r="N354" s="597"/>
      <c r="O354" s="598"/>
      <c r="P354" s="90">
        <v>44</v>
      </c>
      <c r="Q354" s="71">
        <v>0</v>
      </c>
      <c r="R354" s="71">
        <v>0</v>
      </c>
      <c r="S354" s="71">
        <v>0</v>
      </c>
      <c r="T354" s="71">
        <v>0</v>
      </c>
      <c r="U354" s="71">
        <v>0</v>
      </c>
      <c r="V354" s="71">
        <v>0</v>
      </c>
      <c r="X354" s="90">
        <f t="shared" si="97"/>
        <v>0</v>
      </c>
      <c r="Y354" s="90">
        <f t="shared" si="97"/>
        <v>0</v>
      </c>
      <c r="Z354" s="90">
        <f t="shared" si="97"/>
        <v>0</v>
      </c>
      <c r="AA354" s="90">
        <f t="shared" si="97"/>
        <v>0</v>
      </c>
      <c r="AB354" s="90">
        <f t="shared" si="97"/>
        <v>0</v>
      </c>
      <c r="AC354" s="90">
        <f t="shared" si="97"/>
        <v>0</v>
      </c>
      <c r="AE354" s="71">
        <f t="shared" si="98"/>
        <v>0</v>
      </c>
      <c r="AF354" s="71">
        <f t="shared" si="98"/>
        <v>0</v>
      </c>
      <c r="AG354" s="71">
        <f t="shared" si="98"/>
        <v>0</v>
      </c>
      <c r="AH354" s="71">
        <f t="shared" si="98"/>
        <v>0</v>
      </c>
      <c r="AI354" s="71">
        <f t="shared" si="98"/>
        <v>0</v>
      </c>
      <c r="AJ354" s="71">
        <f t="shared" si="98"/>
        <v>0</v>
      </c>
    </row>
    <row r="355" spans="2:36">
      <c r="B355" s="597"/>
      <c r="C355" s="597"/>
      <c r="D355" s="597"/>
      <c r="E355" s="597"/>
      <c r="F355" s="597"/>
      <c r="G355" s="597"/>
      <c r="I355" s="597"/>
      <c r="J355" s="597"/>
      <c r="K355" s="597"/>
      <c r="L355" s="597"/>
      <c r="M355" s="597"/>
      <c r="N355" s="597"/>
      <c r="O355" s="598"/>
      <c r="P355" s="90">
        <v>44</v>
      </c>
      <c r="Q355" s="71">
        <v>0</v>
      </c>
      <c r="R355" s="71">
        <v>0</v>
      </c>
      <c r="S355" s="71">
        <v>0</v>
      </c>
      <c r="T355" s="71">
        <v>0</v>
      </c>
      <c r="U355" s="71">
        <v>0</v>
      </c>
      <c r="V355" s="71">
        <v>0</v>
      </c>
      <c r="X355" s="90">
        <f t="shared" si="97"/>
        <v>0</v>
      </c>
      <c r="Y355" s="90">
        <f t="shared" si="97"/>
        <v>0</v>
      </c>
      <c r="Z355" s="90">
        <f t="shared" si="97"/>
        <v>0</v>
      </c>
      <c r="AA355" s="90">
        <f t="shared" si="97"/>
        <v>0</v>
      </c>
      <c r="AB355" s="90">
        <f t="shared" si="97"/>
        <v>0</v>
      </c>
      <c r="AC355" s="90">
        <f t="shared" si="97"/>
        <v>0</v>
      </c>
      <c r="AE355" s="71">
        <f t="shared" si="98"/>
        <v>0</v>
      </c>
      <c r="AF355" s="71">
        <f t="shared" si="98"/>
        <v>0</v>
      </c>
      <c r="AG355" s="71">
        <f t="shared" si="98"/>
        <v>0</v>
      </c>
      <c r="AH355" s="71">
        <f t="shared" si="98"/>
        <v>0</v>
      </c>
      <c r="AI355" s="71">
        <f t="shared" si="98"/>
        <v>0</v>
      </c>
      <c r="AJ355" s="71">
        <f t="shared" si="98"/>
        <v>0</v>
      </c>
    </row>
    <row r="356" spans="2:36">
      <c r="B356" s="597"/>
      <c r="C356" s="597"/>
      <c r="D356" s="597"/>
      <c r="E356" s="597"/>
      <c r="F356" s="597"/>
      <c r="G356" s="597"/>
      <c r="I356" s="597"/>
      <c r="J356" s="597"/>
      <c r="K356" s="597"/>
      <c r="L356" s="597"/>
      <c r="M356" s="597"/>
      <c r="N356" s="597"/>
      <c r="O356" s="598"/>
      <c r="P356" s="90">
        <v>44</v>
      </c>
      <c r="Q356" s="71">
        <v>0</v>
      </c>
      <c r="R356" s="71">
        <v>0</v>
      </c>
      <c r="S356" s="71">
        <v>0</v>
      </c>
      <c r="T356" s="71">
        <v>0</v>
      </c>
      <c r="U356" s="71">
        <v>0</v>
      </c>
      <c r="V356" s="71">
        <v>0</v>
      </c>
      <c r="X356" s="90">
        <f t="shared" si="97"/>
        <v>0</v>
      </c>
      <c r="Y356" s="90">
        <f t="shared" si="97"/>
        <v>0</v>
      </c>
      <c r="Z356" s="90">
        <f t="shared" si="97"/>
        <v>0</v>
      </c>
      <c r="AA356" s="90">
        <f t="shared" si="97"/>
        <v>0</v>
      </c>
      <c r="AB356" s="90">
        <f t="shared" si="97"/>
        <v>0</v>
      </c>
      <c r="AC356" s="90">
        <f t="shared" si="97"/>
        <v>0</v>
      </c>
      <c r="AE356" s="71">
        <f t="shared" si="98"/>
        <v>0</v>
      </c>
      <c r="AF356" s="71">
        <f t="shared" si="98"/>
        <v>0</v>
      </c>
      <c r="AG356" s="71">
        <f t="shared" si="98"/>
        <v>0</v>
      </c>
      <c r="AH356" s="71">
        <f t="shared" si="98"/>
        <v>0</v>
      </c>
      <c r="AI356" s="71">
        <f t="shared" si="98"/>
        <v>0</v>
      </c>
      <c r="AJ356" s="71">
        <f t="shared" si="98"/>
        <v>0</v>
      </c>
    </row>
    <row r="357" spans="2:36" s="599" customFormat="1">
      <c r="B357" s="600"/>
      <c r="C357" s="600"/>
      <c r="D357" s="600"/>
      <c r="E357" s="600"/>
      <c r="F357" s="600"/>
      <c r="G357" s="600"/>
      <c r="I357" s="600"/>
      <c r="J357" s="600"/>
      <c r="K357" s="600"/>
      <c r="L357" s="600"/>
      <c r="M357" s="600"/>
      <c r="N357" s="600"/>
      <c r="O357" s="601"/>
      <c r="P357" s="599">
        <v>44</v>
      </c>
      <c r="Q357" s="602">
        <v>0</v>
      </c>
      <c r="R357" s="602">
        <v>0</v>
      </c>
      <c r="S357" s="602">
        <v>0</v>
      </c>
      <c r="T357" s="602">
        <v>0</v>
      </c>
      <c r="U357" s="602">
        <v>0</v>
      </c>
      <c r="V357" s="602">
        <v>0</v>
      </c>
      <c r="X357" s="599">
        <f t="shared" si="97"/>
        <v>0</v>
      </c>
      <c r="Y357" s="599">
        <f t="shared" si="97"/>
        <v>0</v>
      </c>
      <c r="Z357" s="599">
        <f t="shared" si="97"/>
        <v>0</v>
      </c>
      <c r="AA357" s="599">
        <f t="shared" si="97"/>
        <v>0</v>
      </c>
      <c r="AB357" s="599">
        <f t="shared" si="97"/>
        <v>0</v>
      </c>
      <c r="AC357" s="599">
        <f t="shared" si="97"/>
        <v>0</v>
      </c>
      <c r="AE357" s="602">
        <f t="shared" si="98"/>
        <v>0</v>
      </c>
      <c r="AF357" s="602">
        <f t="shared" si="98"/>
        <v>0</v>
      </c>
      <c r="AG357" s="602">
        <f t="shared" si="98"/>
        <v>0</v>
      </c>
      <c r="AH357" s="602">
        <f t="shared" si="98"/>
        <v>0</v>
      </c>
      <c r="AI357" s="602">
        <f t="shared" si="98"/>
        <v>0</v>
      </c>
      <c r="AJ357" s="602">
        <f t="shared" si="98"/>
        <v>0</v>
      </c>
    </row>
    <row r="358" spans="2:36" s="605" customFormat="1">
      <c r="B358" s="604"/>
      <c r="C358" s="604"/>
      <c r="D358" s="604"/>
      <c r="E358" s="604"/>
      <c r="F358" s="604"/>
      <c r="G358" s="604"/>
      <c r="I358" s="604"/>
      <c r="J358" s="604"/>
      <c r="K358" s="604"/>
      <c r="L358" s="604"/>
      <c r="M358" s="604"/>
      <c r="N358" s="604"/>
      <c r="O358" s="606"/>
      <c r="P358" s="605">
        <v>45</v>
      </c>
      <c r="Q358" s="607">
        <v>0</v>
      </c>
      <c r="R358" s="607">
        <v>0</v>
      </c>
      <c r="S358" s="607">
        <v>0</v>
      </c>
      <c r="T358" s="607">
        <v>0</v>
      </c>
      <c r="U358" s="607">
        <v>0</v>
      </c>
      <c r="V358" s="607">
        <v>0</v>
      </c>
      <c r="X358" s="605">
        <f t="shared" si="97"/>
        <v>0</v>
      </c>
      <c r="Y358" s="605">
        <f t="shared" si="97"/>
        <v>0</v>
      </c>
      <c r="Z358" s="605">
        <f t="shared" si="97"/>
        <v>0</v>
      </c>
      <c r="AA358" s="605">
        <f t="shared" si="97"/>
        <v>0</v>
      </c>
      <c r="AB358" s="605">
        <f t="shared" si="97"/>
        <v>0</v>
      </c>
      <c r="AC358" s="605">
        <f t="shared" si="97"/>
        <v>0</v>
      </c>
      <c r="AE358" s="607">
        <f t="shared" si="98"/>
        <v>0</v>
      </c>
      <c r="AF358" s="607">
        <f t="shared" si="98"/>
        <v>0</v>
      </c>
      <c r="AG358" s="607">
        <f t="shared" si="98"/>
        <v>0</v>
      </c>
      <c r="AH358" s="607">
        <f t="shared" si="98"/>
        <v>0</v>
      </c>
      <c r="AI358" s="607">
        <f t="shared" si="98"/>
        <v>0</v>
      </c>
      <c r="AJ358" s="607">
        <f t="shared" si="98"/>
        <v>0</v>
      </c>
    </row>
    <row r="359" spans="2:36">
      <c r="B359" s="597"/>
      <c r="C359" s="597"/>
      <c r="D359" s="597"/>
      <c r="E359" s="597"/>
      <c r="F359" s="597"/>
      <c r="G359" s="597"/>
      <c r="I359" s="597"/>
      <c r="J359" s="597"/>
      <c r="K359" s="597"/>
      <c r="L359" s="597"/>
      <c r="M359" s="597"/>
      <c r="N359" s="597"/>
      <c r="O359" s="598"/>
      <c r="P359" s="90">
        <v>45</v>
      </c>
      <c r="Q359" s="71">
        <v>0</v>
      </c>
      <c r="R359" s="71">
        <v>0</v>
      </c>
      <c r="S359" s="71">
        <v>0</v>
      </c>
      <c r="T359" s="71">
        <v>0</v>
      </c>
      <c r="U359" s="71">
        <v>0</v>
      </c>
      <c r="V359" s="71">
        <v>0</v>
      </c>
      <c r="X359" s="90">
        <f t="shared" si="97"/>
        <v>0</v>
      </c>
      <c r="Y359" s="90">
        <f t="shared" si="97"/>
        <v>0</v>
      </c>
      <c r="Z359" s="90">
        <f t="shared" si="97"/>
        <v>0</v>
      </c>
      <c r="AA359" s="90">
        <f t="shared" si="97"/>
        <v>0</v>
      </c>
      <c r="AB359" s="90">
        <f t="shared" si="97"/>
        <v>0</v>
      </c>
      <c r="AC359" s="90">
        <f t="shared" si="97"/>
        <v>0</v>
      </c>
      <c r="AE359" s="71">
        <f t="shared" si="98"/>
        <v>0</v>
      </c>
      <c r="AF359" s="71">
        <f t="shared" si="98"/>
        <v>0</v>
      </c>
      <c r="AG359" s="71">
        <f t="shared" si="98"/>
        <v>0</v>
      </c>
      <c r="AH359" s="71">
        <f t="shared" si="98"/>
        <v>0</v>
      </c>
      <c r="AI359" s="71">
        <f t="shared" si="98"/>
        <v>0</v>
      </c>
      <c r="AJ359" s="71">
        <f t="shared" si="98"/>
        <v>0</v>
      </c>
    </row>
    <row r="360" spans="2:36">
      <c r="B360" s="597"/>
      <c r="C360" s="597"/>
      <c r="D360" s="597"/>
      <c r="E360" s="597"/>
      <c r="F360" s="597"/>
      <c r="G360" s="597"/>
      <c r="I360" s="597"/>
      <c r="J360" s="597"/>
      <c r="K360" s="597"/>
      <c r="L360" s="597"/>
      <c r="M360" s="597"/>
      <c r="N360" s="597"/>
      <c r="O360" s="598"/>
      <c r="P360" s="90">
        <v>45</v>
      </c>
      <c r="Q360" s="71">
        <v>0</v>
      </c>
      <c r="R360" s="71">
        <v>0</v>
      </c>
      <c r="S360" s="71">
        <v>0</v>
      </c>
      <c r="T360" s="71">
        <v>0</v>
      </c>
      <c r="U360" s="71">
        <v>0</v>
      </c>
      <c r="V360" s="71">
        <v>0</v>
      </c>
      <c r="X360" s="90">
        <f t="shared" si="97"/>
        <v>0</v>
      </c>
      <c r="Y360" s="90">
        <f t="shared" si="97"/>
        <v>0</v>
      </c>
      <c r="Z360" s="90">
        <f t="shared" si="97"/>
        <v>0</v>
      </c>
      <c r="AA360" s="90">
        <f t="shared" si="97"/>
        <v>0</v>
      </c>
      <c r="AB360" s="90">
        <f t="shared" si="97"/>
        <v>0</v>
      </c>
      <c r="AC360" s="90">
        <f t="shared" si="97"/>
        <v>0</v>
      </c>
      <c r="AE360" s="71">
        <f t="shared" si="98"/>
        <v>0</v>
      </c>
      <c r="AF360" s="71">
        <f t="shared" si="98"/>
        <v>0</v>
      </c>
      <c r="AG360" s="71">
        <f t="shared" si="98"/>
        <v>0</v>
      </c>
      <c r="AH360" s="71">
        <f t="shared" si="98"/>
        <v>0</v>
      </c>
      <c r="AI360" s="71">
        <f t="shared" si="98"/>
        <v>0</v>
      </c>
      <c r="AJ360" s="71">
        <f t="shared" si="98"/>
        <v>0</v>
      </c>
    </row>
    <row r="361" spans="2:36">
      <c r="B361" s="597"/>
      <c r="C361" s="597"/>
      <c r="D361" s="597"/>
      <c r="E361" s="597"/>
      <c r="F361" s="597"/>
      <c r="G361" s="597"/>
      <c r="I361" s="597"/>
      <c r="J361" s="597"/>
      <c r="K361" s="597"/>
      <c r="L361" s="597"/>
      <c r="M361" s="597"/>
      <c r="N361" s="597"/>
      <c r="O361" s="598"/>
      <c r="P361" s="90">
        <v>45</v>
      </c>
      <c r="Q361" s="71">
        <v>0</v>
      </c>
      <c r="R361" s="71">
        <v>0</v>
      </c>
      <c r="S361" s="71">
        <v>0</v>
      </c>
      <c r="T361" s="71">
        <v>0</v>
      </c>
      <c r="U361" s="71">
        <v>0</v>
      </c>
      <c r="V361" s="71">
        <v>0</v>
      </c>
      <c r="X361" s="90">
        <f t="shared" si="97"/>
        <v>0</v>
      </c>
      <c r="Y361" s="90">
        <f t="shared" si="97"/>
        <v>0</v>
      </c>
      <c r="Z361" s="90">
        <f t="shared" si="97"/>
        <v>0</v>
      </c>
      <c r="AA361" s="90">
        <f t="shared" si="97"/>
        <v>0</v>
      </c>
      <c r="AB361" s="90">
        <f t="shared" si="97"/>
        <v>0</v>
      </c>
      <c r="AC361" s="90">
        <f t="shared" si="97"/>
        <v>0</v>
      </c>
      <c r="AE361" s="71">
        <f t="shared" si="98"/>
        <v>0</v>
      </c>
      <c r="AF361" s="71">
        <f t="shared" si="98"/>
        <v>0</v>
      </c>
      <c r="AG361" s="71">
        <f t="shared" si="98"/>
        <v>0</v>
      </c>
      <c r="AH361" s="71">
        <f t="shared" si="98"/>
        <v>0</v>
      </c>
      <c r="AI361" s="71">
        <f t="shared" si="98"/>
        <v>0</v>
      </c>
      <c r="AJ361" s="71">
        <f t="shared" si="98"/>
        <v>0</v>
      </c>
    </row>
    <row r="362" spans="2:36">
      <c r="B362" s="597"/>
      <c r="C362" s="597"/>
      <c r="D362" s="597"/>
      <c r="E362" s="597"/>
      <c r="F362" s="597"/>
      <c r="G362" s="597"/>
      <c r="I362" s="597"/>
      <c r="J362" s="597"/>
      <c r="K362" s="597"/>
      <c r="L362" s="597"/>
      <c r="M362" s="597"/>
      <c r="N362" s="597"/>
      <c r="O362" s="598"/>
      <c r="P362" s="90">
        <v>45</v>
      </c>
      <c r="Q362" s="71">
        <v>0</v>
      </c>
      <c r="R362" s="71">
        <v>0</v>
      </c>
      <c r="S362" s="71">
        <v>0</v>
      </c>
      <c r="T362" s="71">
        <v>0</v>
      </c>
      <c r="U362" s="71">
        <v>0</v>
      </c>
      <c r="V362" s="71">
        <v>0</v>
      </c>
      <c r="X362" s="90">
        <f t="shared" si="97"/>
        <v>0</v>
      </c>
      <c r="Y362" s="90">
        <f t="shared" si="97"/>
        <v>0</v>
      </c>
      <c r="Z362" s="90">
        <f t="shared" si="97"/>
        <v>0</v>
      </c>
      <c r="AA362" s="90">
        <f t="shared" si="97"/>
        <v>0</v>
      </c>
      <c r="AB362" s="90">
        <f t="shared" si="97"/>
        <v>0</v>
      </c>
      <c r="AC362" s="90">
        <f t="shared" si="97"/>
        <v>0</v>
      </c>
      <c r="AE362" s="71">
        <f t="shared" si="98"/>
        <v>0</v>
      </c>
      <c r="AF362" s="71">
        <f t="shared" si="98"/>
        <v>0</v>
      </c>
      <c r="AG362" s="71">
        <f t="shared" si="98"/>
        <v>0</v>
      </c>
      <c r="AH362" s="71">
        <f t="shared" si="98"/>
        <v>0</v>
      </c>
      <c r="AI362" s="71">
        <f t="shared" si="98"/>
        <v>0</v>
      </c>
      <c r="AJ362" s="71">
        <f t="shared" si="98"/>
        <v>0</v>
      </c>
    </row>
    <row r="363" spans="2:36">
      <c r="B363" s="597"/>
      <c r="C363" s="597"/>
      <c r="D363" s="597"/>
      <c r="E363" s="597"/>
      <c r="F363" s="597"/>
      <c r="G363" s="597"/>
      <c r="I363" s="597"/>
      <c r="J363" s="597"/>
      <c r="K363" s="597"/>
      <c r="L363" s="597"/>
      <c r="M363" s="597"/>
      <c r="N363" s="597"/>
      <c r="O363" s="598"/>
      <c r="P363" s="90">
        <v>45</v>
      </c>
      <c r="Q363" s="71">
        <v>0</v>
      </c>
      <c r="R363" s="71">
        <v>0</v>
      </c>
      <c r="S363" s="71">
        <v>0</v>
      </c>
      <c r="T363" s="71">
        <v>0</v>
      </c>
      <c r="U363" s="71">
        <v>0</v>
      </c>
      <c r="V363" s="71">
        <v>0</v>
      </c>
      <c r="X363" s="90">
        <f t="shared" si="97"/>
        <v>0</v>
      </c>
      <c r="Y363" s="90">
        <f t="shared" si="97"/>
        <v>0</v>
      </c>
      <c r="Z363" s="90">
        <f t="shared" si="97"/>
        <v>0</v>
      </c>
      <c r="AA363" s="90">
        <f t="shared" si="97"/>
        <v>0</v>
      </c>
      <c r="AB363" s="90">
        <f t="shared" si="97"/>
        <v>0</v>
      </c>
      <c r="AC363" s="90">
        <f t="shared" si="97"/>
        <v>0</v>
      </c>
      <c r="AE363" s="71">
        <f t="shared" si="98"/>
        <v>0</v>
      </c>
      <c r="AF363" s="71">
        <f t="shared" si="98"/>
        <v>0</v>
      </c>
      <c r="AG363" s="71">
        <f t="shared" si="98"/>
        <v>0</v>
      </c>
      <c r="AH363" s="71">
        <f t="shared" si="98"/>
        <v>0</v>
      </c>
      <c r="AI363" s="71">
        <f t="shared" si="98"/>
        <v>0</v>
      </c>
      <c r="AJ363" s="71">
        <f t="shared" si="98"/>
        <v>0</v>
      </c>
    </row>
    <row r="364" spans="2:36">
      <c r="B364" s="597"/>
      <c r="C364" s="597"/>
      <c r="D364" s="597"/>
      <c r="E364" s="597"/>
      <c r="F364" s="597"/>
      <c r="G364" s="597"/>
      <c r="I364" s="597"/>
      <c r="J364" s="597"/>
      <c r="K364" s="597"/>
      <c r="L364" s="597"/>
      <c r="M364" s="597"/>
      <c r="N364" s="597"/>
      <c r="O364" s="598"/>
      <c r="P364" s="90">
        <v>45</v>
      </c>
      <c r="Q364" s="71">
        <v>0</v>
      </c>
      <c r="R364" s="71">
        <v>0</v>
      </c>
      <c r="S364" s="71">
        <v>0</v>
      </c>
      <c r="T364" s="71">
        <v>0</v>
      </c>
      <c r="U364" s="71">
        <v>0</v>
      </c>
      <c r="V364" s="71">
        <v>0</v>
      </c>
      <c r="X364" s="90">
        <f t="shared" si="97"/>
        <v>0</v>
      </c>
      <c r="Y364" s="90">
        <f t="shared" si="97"/>
        <v>0</v>
      </c>
      <c r="Z364" s="90">
        <f t="shared" si="97"/>
        <v>0</v>
      </c>
      <c r="AA364" s="90">
        <f t="shared" si="97"/>
        <v>0</v>
      </c>
      <c r="AB364" s="90">
        <f t="shared" si="97"/>
        <v>0</v>
      </c>
      <c r="AC364" s="90">
        <f t="shared" si="97"/>
        <v>0</v>
      </c>
      <c r="AE364" s="71">
        <f t="shared" si="98"/>
        <v>0</v>
      </c>
      <c r="AF364" s="71">
        <f t="shared" si="98"/>
        <v>0</v>
      </c>
      <c r="AG364" s="71">
        <f t="shared" si="98"/>
        <v>0</v>
      </c>
      <c r="AH364" s="71">
        <f t="shared" si="98"/>
        <v>0</v>
      </c>
      <c r="AI364" s="71">
        <f t="shared" si="98"/>
        <v>0</v>
      </c>
      <c r="AJ364" s="71">
        <f t="shared" si="98"/>
        <v>0</v>
      </c>
    </row>
    <row r="365" spans="2:36" s="599" customFormat="1">
      <c r="B365" s="600"/>
      <c r="C365" s="600"/>
      <c r="D365" s="600"/>
      <c r="E365" s="600"/>
      <c r="F365" s="600"/>
      <c r="G365" s="600"/>
      <c r="I365" s="600"/>
      <c r="J365" s="600"/>
      <c r="K365" s="600"/>
      <c r="L365" s="600"/>
      <c r="M365" s="600"/>
      <c r="N365" s="600"/>
      <c r="O365" s="601"/>
      <c r="P365" s="599">
        <v>45</v>
      </c>
      <c r="Q365" s="602">
        <v>0</v>
      </c>
      <c r="R365" s="602">
        <v>0</v>
      </c>
      <c r="S365" s="602">
        <v>0</v>
      </c>
      <c r="T365" s="602">
        <v>0</v>
      </c>
      <c r="U365" s="602">
        <v>0</v>
      </c>
      <c r="V365" s="602">
        <v>0</v>
      </c>
      <c r="X365" s="599">
        <f t="shared" si="97"/>
        <v>0</v>
      </c>
      <c r="Y365" s="599">
        <f t="shared" si="97"/>
        <v>0</v>
      </c>
      <c r="Z365" s="599">
        <f t="shared" si="97"/>
        <v>0</v>
      </c>
      <c r="AA365" s="599">
        <f t="shared" si="97"/>
        <v>0</v>
      </c>
      <c r="AB365" s="599">
        <f t="shared" si="97"/>
        <v>0</v>
      </c>
      <c r="AC365" s="599">
        <f t="shared" si="97"/>
        <v>0</v>
      </c>
      <c r="AE365" s="602">
        <f t="shared" si="98"/>
        <v>0</v>
      </c>
      <c r="AF365" s="602">
        <f t="shared" si="98"/>
        <v>0</v>
      </c>
      <c r="AG365" s="602">
        <f t="shared" si="98"/>
        <v>0</v>
      </c>
      <c r="AH365" s="602">
        <f t="shared" si="98"/>
        <v>0</v>
      </c>
      <c r="AI365" s="602">
        <f t="shared" si="98"/>
        <v>0</v>
      </c>
      <c r="AJ365" s="602">
        <f t="shared" si="98"/>
        <v>0</v>
      </c>
    </row>
    <row r="366" spans="2:36" s="605" customFormat="1">
      <c r="B366" s="604"/>
      <c r="C366" s="604"/>
      <c r="D366" s="604"/>
      <c r="E366" s="604"/>
      <c r="F366" s="604"/>
      <c r="G366" s="604"/>
      <c r="I366" s="604"/>
      <c r="J366" s="604"/>
      <c r="K366" s="604"/>
      <c r="L366" s="604"/>
      <c r="M366" s="604"/>
      <c r="N366" s="604"/>
      <c r="O366" s="606"/>
      <c r="P366" s="605">
        <v>46</v>
      </c>
      <c r="Q366" s="607">
        <v>0</v>
      </c>
      <c r="R366" s="607">
        <v>0</v>
      </c>
      <c r="S366" s="607">
        <v>0</v>
      </c>
      <c r="T366" s="607">
        <v>0</v>
      </c>
      <c r="U366" s="607">
        <v>0</v>
      </c>
      <c r="V366" s="607">
        <v>0</v>
      </c>
      <c r="X366" s="605">
        <f t="shared" si="97"/>
        <v>0</v>
      </c>
      <c r="Y366" s="605">
        <f t="shared" si="97"/>
        <v>0</v>
      </c>
      <c r="Z366" s="605">
        <f t="shared" si="97"/>
        <v>0</v>
      </c>
      <c r="AA366" s="605">
        <f t="shared" si="97"/>
        <v>0</v>
      </c>
      <c r="AB366" s="605">
        <f t="shared" si="97"/>
        <v>0</v>
      </c>
      <c r="AC366" s="605">
        <f t="shared" si="97"/>
        <v>0</v>
      </c>
      <c r="AE366" s="607">
        <f t="shared" si="98"/>
        <v>0</v>
      </c>
      <c r="AF366" s="607">
        <f t="shared" si="98"/>
        <v>0</v>
      </c>
      <c r="AG366" s="607">
        <f t="shared" si="98"/>
        <v>0</v>
      </c>
      <c r="AH366" s="607">
        <f t="shared" si="98"/>
        <v>0</v>
      </c>
      <c r="AI366" s="607">
        <f t="shared" si="98"/>
        <v>0</v>
      </c>
      <c r="AJ366" s="607">
        <f t="shared" si="98"/>
        <v>0</v>
      </c>
    </row>
    <row r="367" spans="2:36">
      <c r="B367" s="597"/>
      <c r="C367" s="597"/>
      <c r="D367" s="597"/>
      <c r="E367" s="597"/>
      <c r="F367" s="597"/>
      <c r="G367" s="597"/>
      <c r="I367" s="597"/>
      <c r="J367" s="597"/>
      <c r="K367" s="597"/>
      <c r="L367" s="597"/>
      <c r="M367" s="597"/>
      <c r="N367" s="597"/>
      <c r="O367" s="598"/>
      <c r="P367" s="90">
        <v>46</v>
      </c>
      <c r="Q367" s="71">
        <v>0</v>
      </c>
      <c r="R367" s="71">
        <v>0</v>
      </c>
      <c r="S367" s="71">
        <v>0</v>
      </c>
      <c r="T367" s="71">
        <v>0</v>
      </c>
      <c r="U367" s="71">
        <v>0</v>
      </c>
      <c r="V367" s="71">
        <v>0</v>
      </c>
      <c r="X367" s="90">
        <f t="shared" si="97"/>
        <v>0</v>
      </c>
      <c r="Y367" s="90">
        <f t="shared" si="97"/>
        <v>0</v>
      </c>
      <c r="Z367" s="90">
        <f t="shared" si="97"/>
        <v>0</v>
      </c>
      <c r="AA367" s="90">
        <f t="shared" si="97"/>
        <v>0</v>
      </c>
      <c r="AB367" s="90">
        <f t="shared" si="97"/>
        <v>0</v>
      </c>
      <c r="AC367" s="90">
        <f t="shared" si="97"/>
        <v>0</v>
      </c>
      <c r="AE367" s="71">
        <f t="shared" si="98"/>
        <v>0</v>
      </c>
      <c r="AF367" s="71">
        <f t="shared" si="98"/>
        <v>0</v>
      </c>
      <c r="AG367" s="71">
        <f t="shared" si="98"/>
        <v>0</v>
      </c>
      <c r="AH367" s="71">
        <f t="shared" si="98"/>
        <v>0</v>
      </c>
      <c r="AI367" s="71">
        <f t="shared" si="98"/>
        <v>0</v>
      </c>
      <c r="AJ367" s="71">
        <f t="shared" si="98"/>
        <v>0</v>
      </c>
    </row>
    <row r="368" spans="2:36">
      <c r="B368" s="597"/>
      <c r="C368" s="597"/>
      <c r="D368" s="597"/>
      <c r="E368" s="597"/>
      <c r="F368" s="597"/>
      <c r="G368" s="597"/>
      <c r="I368" s="597"/>
      <c r="J368" s="597"/>
      <c r="K368" s="597"/>
      <c r="L368" s="597"/>
      <c r="M368" s="597"/>
      <c r="N368" s="597"/>
      <c r="O368" s="598"/>
      <c r="P368" s="90">
        <v>46</v>
      </c>
      <c r="Q368" s="71">
        <v>0</v>
      </c>
      <c r="R368" s="71">
        <v>0</v>
      </c>
      <c r="S368" s="71">
        <v>0</v>
      </c>
      <c r="T368" s="71">
        <v>0</v>
      </c>
      <c r="U368" s="71">
        <v>0</v>
      </c>
      <c r="V368" s="71">
        <v>0</v>
      </c>
      <c r="X368" s="90">
        <f t="shared" si="97"/>
        <v>0</v>
      </c>
      <c r="Y368" s="90">
        <f t="shared" si="97"/>
        <v>0</v>
      </c>
      <c r="Z368" s="90">
        <f t="shared" si="97"/>
        <v>0</v>
      </c>
      <c r="AA368" s="90">
        <f t="shared" si="97"/>
        <v>0</v>
      </c>
      <c r="AB368" s="90">
        <f t="shared" si="97"/>
        <v>0</v>
      </c>
      <c r="AC368" s="90">
        <f t="shared" si="97"/>
        <v>0</v>
      </c>
      <c r="AE368" s="71">
        <f t="shared" si="98"/>
        <v>0</v>
      </c>
      <c r="AF368" s="71">
        <f t="shared" si="98"/>
        <v>0</v>
      </c>
      <c r="AG368" s="71">
        <f t="shared" si="98"/>
        <v>0</v>
      </c>
      <c r="AH368" s="71">
        <f t="shared" si="98"/>
        <v>0</v>
      </c>
      <c r="AI368" s="71">
        <f t="shared" si="98"/>
        <v>0</v>
      </c>
      <c r="AJ368" s="71">
        <f t="shared" si="98"/>
        <v>0</v>
      </c>
    </row>
    <row r="369" spans="2:36">
      <c r="B369" s="597"/>
      <c r="C369" s="597"/>
      <c r="D369" s="597"/>
      <c r="E369" s="597"/>
      <c r="F369" s="597"/>
      <c r="G369" s="597"/>
      <c r="I369" s="597"/>
      <c r="J369" s="597"/>
      <c r="K369" s="597"/>
      <c r="L369" s="597"/>
      <c r="M369" s="597"/>
      <c r="N369" s="597"/>
      <c r="O369" s="598"/>
      <c r="P369" s="90">
        <v>46</v>
      </c>
      <c r="Q369" s="71">
        <v>0</v>
      </c>
      <c r="R369" s="71">
        <v>0</v>
      </c>
      <c r="S369" s="71">
        <v>0</v>
      </c>
      <c r="T369" s="71">
        <v>0</v>
      </c>
      <c r="U369" s="71">
        <v>0</v>
      </c>
      <c r="V369" s="71">
        <v>0</v>
      </c>
      <c r="X369" s="90">
        <f t="shared" si="97"/>
        <v>0</v>
      </c>
      <c r="Y369" s="90">
        <f t="shared" si="97"/>
        <v>0</v>
      </c>
      <c r="Z369" s="90">
        <f t="shared" si="97"/>
        <v>0</v>
      </c>
      <c r="AA369" s="90">
        <f t="shared" si="97"/>
        <v>0</v>
      </c>
      <c r="AB369" s="90">
        <f t="shared" si="97"/>
        <v>0</v>
      </c>
      <c r="AC369" s="90">
        <f t="shared" si="97"/>
        <v>0</v>
      </c>
      <c r="AE369" s="71">
        <f t="shared" si="98"/>
        <v>0</v>
      </c>
      <c r="AF369" s="71">
        <f t="shared" si="98"/>
        <v>0</v>
      </c>
      <c r="AG369" s="71">
        <f t="shared" si="98"/>
        <v>0</v>
      </c>
      <c r="AH369" s="71">
        <f t="shared" si="98"/>
        <v>0</v>
      </c>
      <c r="AI369" s="71">
        <f t="shared" si="98"/>
        <v>0</v>
      </c>
      <c r="AJ369" s="71">
        <f t="shared" si="98"/>
        <v>0</v>
      </c>
    </row>
    <row r="370" spans="2:36">
      <c r="B370" s="597"/>
      <c r="C370" s="597"/>
      <c r="D370" s="597"/>
      <c r="E370" s="597"/>
      <c r="F370" s="597"/>
      <c r="G370" s="597"/>
      <c r="I370" s="597"/>
      <c r="J370" s="597"/>
      <c r="K370" s="597"/>
      <c r="L370" s="597"/>
      <c r="M370" s="597"/>
      <c r="N370" s="597"/>
      <c r="O370" s="598"/>
      <c r="P370" s="90">
        <v>46</v>
      </c>
      <c r="Q370" s="71">
        <v>0</v>
      </c>
      <c r="R370" s="71">
        <v>0</v>
      </c>
      <c r="S370" s="71">
        <v>0</v>
      </c>
      <c r="T370" s="71">
        <v>0</v>
      </c>
      <c r="U370" s="71">
        <v>0</v>
      </c>
      <c r="V370" s="71">
        <v>0</v>
      </c>
      <c r="X370" s="90">
        <f t="shared" si="97"/>
        <v>0</v>
      </c>
      <c r="Y370" s="90">
        <f t="shared" si="97"/>
        <v>0</v>
      </c>
      <c r="Z370" s="90">
        <f t="shared" si="97"/>
        <v>0</v>
      </c>
      <c r="AA370" s="90">
        <f t="shared" si="97"/>
        <v>0</v>
      </c>
      <c r="AB370" s="90">
        <f t="shared" si="97"/>
        <v>0</v>
      </c>
      <c r="AC370" s="90">
        <f t="shared" si="97"/>
        <v>0</v>
      </c>
      <c r="AE370" s="71">
        <f t="shared" si="98"/>
        <v>0</v>
      </c>
      <c r="AF370" s="71">
        <f t="shared" si="98"/>
        <v>0</v>
      </c>
      <c r="AG370" s="71">
        <f t="shared" si="98"/>
        <v>0</v>
      </c>
      <c r="AH370" s="71">
        <f t="shared" si="98"/>
        <v>0</v>
      </c>
      <c r="AI370" s="71">
        <f t="shared" si="98"/>
        <v>0</v>
      </c>
      <c r="AJ370" s="71">
        <f t="shared" si="98"/>
        <v>0</v>
      </c>
    </row>
    <row r="371" spans="2:36">
      <c r="B371" s="597"/>
      <c r="C371" s="597"/>
      <c r="D371" s="597"/>
      <c r="E371" s="597"/>
      <c r="F371" s="597"/>
      <c r="G371" s="597"/>
      <c r="I371" s="597"/>
      <c r="J371" s="597"/>
      <c r="K371" s="597"/>
      <c r="L371" s="597"/>
      <c r="M371" s="597"/>
      <c r="N371" s="597"/>
      <c r="O371" s="598"/>
      <c r="P371" s="90">
        <v>46</v>
      </c>
      <c r="Q371" s="71">
        <v>0</v>
      </c>
      <c r="R371" s="71">
        <v>0</v>
      </c>
      <c r="S371" s="71">
        <v>0</v>
      </c>
      <c r="T371" s="71">
        <v>0</v>
      </c>
      <c r="U371" s="71">
        <v>0</v>
      </c>
      <c r="V371" s="71">
        <v>0</v>
      </c>
      <c r="X371" s="90">
        <f t="shared" si="97"/>
        <v>0</v>
      </c>
      <c r="Y371" s="90">
        <f t="shared" si="97"/>
        <v>0</v>
      </c>
      <c r="Z371" s="90">
        <f t="shared" si="97"/>
        <v>0</v>
      </c>
      <c r="AA371" s="90">
        <f t="shared" si="97"/>
        <v>0</v>
      </c>
      <c r="AB371" s="90">
        <f t="shared" si="97"/>
        <v>0</v>
      </c>
      <c r="AC371" s="90">
        <f t="shared" si="97"/>
        <v>0</v>
      </c>
      <c r="AE371" s="71">
        <f t="shared" si="98"/>
        <v>0</v>
      </c>
      <c r="AF371" s="71">
        <f t="shared" si="98"/>
        <v>0</v>
      </c>
      <c r="AG371" s="71">
        <f t="shared" si="98"/>
        <v>0</v>
      </c>
      <c r="AH371" s="71">
        <f t="shared" si="98"/>
        <v>0</v>
      </c>
      <c r="AI371" s="71">
        <f t="shared" si="98"/>
        <v>0</v>
      </c>
      <c r="AJ371" s="71">
        <f t="shared" si="98"/>
        <v>0</v>
      </c>
    </row>
    <row r="372" spans="2:36">
      <c r="B372" s="597"/>
      <c r="C372" s="597"/>
      <c r="D372" s="597"/>
      <c r="E372" s="597"/>
      <c r="F372" s="597"/>
      <c r="G372" s="597"/>
      <c r="I372" s="597"/>
      <c r="J372" s="597"/>
      <c r="K372" s="597"/>
      <c r="L372" s="597"/>
      <c r="M372" s="597"/>
      <c r="N372" s="597"/>
      <c r="O372" s="598"/>
      <c r="P372" s="90">
        <v>46</v>
      </c>
      <c r="Q372" s="71">
        <v>0</v>
      </c>
      <c r="R372" s="71">
        <v>0</v>
      </c>
      <c r="S372" s="71">
        <v>0</v>
      </c>
      <c r="T372" s="71">
        <v>0</v>
      </c>
      <c r="U372" s="71">
        <v>0</v>
      </c>
      <c r="V372" s="71">
        <v>0</v>
      </c>
      <c r="X372" s="90">
        <f t="shared" si="97"/>
        <v>0</v>
      </c>
      <c r="Y372" s="90">
        <f t="shared" si="97"/>
        <v>0</v>
      </c>
      <c r="Z372" s="90">
        <f t="shared" si="97"/>
        <v>0</v>
      </c>
      <c r="AA372" s="90">
        <f t="shared" si="97"/>
        <v>0</v>
      </c>
      <c r="AB372" s="90">
        <f t="shared" si="97"/>
        <v>0</v>
      </c>
      <c r="AC372" s="90">
        <f t="shared" si="97"/>
        <v>0</v>
      </c>
      <c r="AE372" s="71">
        <f t="shared" si="98"/>
        <v>0</v>
      </c>
      <c r="AF372" s="71">
        <f t="shared" si="98"/>
        <v>0</v>
      </c>
      <c r="AG372" s="71">
        <f t="shared" si="98"/>
        <v>0</v>
      </c>
      <c r="AH372" s="71">
        <f t="shared" si="98"/>
        <v>0</v>
      </c>
      <c r="AI372" s="71">
        <f t="shared" si="98"/>
        <v>0</v>
      </c>
      <c r="AJ372" s="71">
        <f t="shared" si="98"/>
        <v>0</v>
      </c>
    </row>
    <row r="373" spans="2:36" s="599" customFormat="1">
      <c r="B373" s="600"/>
      <c r="C373" s="600"/>
      <c r="D373" s="600"/>
      <c r="E373" s="600"/>
      <c r="F373" s="600"/>
      <c r="G373" s="600"/>
      <c r="I373" s="600"/>
      <c r="J373" s="600"/>
      <c r="K373" s="600"/>
      <c r="L373" s="600"/>
      <c r="M373" s="600"/>
      <c r="N373" s="600"/>
      <c r="O373" s="601"/>
      <c r="P373" s="599">
        <v>46</v>
      </c>
      <c r="Q373" s="602">
        <v>0</v>
      </c>
      <c r="R373" s="602">
        <v>0</v>
      </c>
      <c r="S373" s="602">
        <v>0</v>
      </c>
      <c r="T373" s="602">
        <v>0</v>
      </c>
      <c r="U373" s="602">
        <v>0</v>
      </c>
      <c r="V373" s="602">
        <v>0</v>
      </c>
      <c r="X373" s="599">
        <f t="shared" si="97"/>
        <v>0</v>
      </c>
      <c r="Y373" s="599">
        <f t="shared" si="97"/>
        <v>0</v>
      </c>
      <c r="Z373" s="599">
        <f t="shared" si="97"/>
        <v>0</v>
      </c>
      <c r="AA373" s="599">
        <f t="shared" si="97"/>
        <v>0</v>
      </c>
      <c r="AB373" s="599">
        <f t="shared" si="97"/>
        <v>0</v>
      </c>
      <c r="AC373" s="599">
        <f t="shared" si="97"/>
        <v>0</v>
      </c>
      <c r="AE373" s="602">
        <f t="shared" si="98"/>
        <v>0</v>
      </c>
      <c r="AF373" s="602">
        <f t="shared" si="98"/>
        <v>0</v>
      </c>
      <c r="AG373" s="602">
        <f t="shared" si="98"/>
        <v>0</v>
      </c>
      <c r="AH373" s="602">
        <f t="shared" si="98"/>
        <v>0</v>
      </c>
      <c r="AI373" s="602">
        <f t="shared" si="98"/>
        <v>0</v>
      </c>
      <c r="AJ373" s="602">
        <f t="shared" si="98"/>
        <v>0</v>
      </c>
    </row>
    <row r="374" spans="2:36" s="605" customFormat="1">
      <c r="B374" s="604"/>
      <c r="C374" s="604"/>
      <c r="D374" s="604"/>
      <c r="E374" s="604"/>
      <c r="F374" s="604"/>
      <c r="G374" s="604"/>
      <c r="I374" s="604"/>
      <c r="J374" s="604"/>
      <c r="K374" s="604"/>
      <c r="L374" s="604"/>
      <c r="M374" s="604"/>
      <c r="N374" s="604"/>
      <c r="O374" s="606"/>
      <c r="P374" s="605">
        <v>47</v>
      </c>
      <c r="Q374" s="607">
        <v>0</v>
      </c>
      <c r="R374" s="607">
        <v>0</v>
      </c>
      <c r="S374" s="607">
        <v>0</v>
      </c>
      <c r="T374" s="607">
        <v>0</v>
      </c>
      <c r="U374" s="607">
        <v>0</v>
      </c>
      <c r="V374" s="607">
        <v>0</v>
      </c>
      <c r="X374" s="605">
        <f t="shared" si="97"/>
        <v>0</v>
      </c>
      <c r="Y374" s="605">
        <f t="shared" si="97"/>
        <v>0</v>
      </c>
      <c r="Z374" s="605">
        <f t="shared" si="97"/>
        <v>0</v>
      </c>
      <c r="AA374" s="605">
        <f t="shared" si="97"/>
        <v>0</v>
      </c>
      <c r="AB374" s="605">
        <f t="shared" si="97"/>
        <v>0</v>
      </c>
      <c r="AC374" s="605">
        <f t="shared" si="97"/>
        <v>0</v>
      </c>
      <c r="AE374" s="607">
        <f t="shared" si="98"/>
        <v>0</v>
      </c>
      <c r="AF374" s="607">
        <f t="shared" si="98"/>
        <v>0</v>
      </c>
      <c r="AG374" s="607">
        <f t="shared" si="98"/>
        <v>0</v>
      </c>
      <c r="AH374" s="607">
        <f t="shared" si="98"/>
        <v>0</v>
      </c>
      <c r="AI374" s="607">
        <f t="shared" si="98"/>
        <v>0</v>
      </c>
      <c r="AJ374" s="607">
        <f t="shared" si="98"/>
        <v>0</v>
      </c>
    </row>
    <row r="375" spans="2:36">
      <c r="B375" s="597"/>
      <c r="C375" s="597"/>
      <c r="D375" s="597"/>
      <c r="E375" s="597"/>
      <c r="F375" s="597"/>
      <c r="G375" s="597"/>
      <c r="I375" s="597"/>
      <c r="J375" s="597"/>
      <c r="K375" s="597"/>
      <c r="L375" s="597"/>
      <c r="M375" s="597"/>
      <c r="N375" s="597"/>
      <c r="O375" s="598"/>
      <c r="P375" s="90">
        <v>47</v>
      </c>
      <c r="Q375" s="71">
        <v>0</v>
      </c>
      <c r="R375" s="71">
        <v>0</v>
      </c>
      <c r="S375" s="71">
        <v>0</v>
      </c>
      <c r="T375" s="71">
        <v>0</v>
      </c>
      <c r="U375" s="71">
        <v>0</v>
      </c>
      <c r="V375" s="71">
        <v>0</v>
      </c>
      <c r="X375" s="90">
        <f t="shared" si="97"/>
        <v>0</v>
      </c>
      <c r="Y375" s="90">
        <f t="shared" si="97"/>
        <v>0</v>
      </c>
      <c r="Z375" s="90">
        <f t="shared" si="97"/>
        <v>0</v>
      </c>
      <c r="AA375" s="90">
        <f t="shared" si="97"/>
        <v>0</v>
      </c>
      <c r="AB375" s="90">
        <f t="shared" si="97"/>
        <v>0</v>
      </c>
      <c r="AC375" s="90">
        <f t="shared" si="97"/>
        <v>0</v>
      </c>
      <c r="AE375" s="71">
        <f t="shared" si="98"/>
        <v>0</v>
      </c>
      <c r="AF375" s="71">
        <f t="shared" si="98"/>
        <v>0</v>
      </c>
      <c r="AG375" s="71">
        <f t="shared" si="98"/>
        <v>0</v>
      </c>
      <c r="AH375" s="71">
        <f t="shared" si="98"/>
        <v>0</v>
      </c>
      <c r="AI375" s="71">
        <f t="shared" si="98"/>
        <v>0</v>
      </c>
      <c r="AJ375" s="71">
        <f t="shared" si="98"/>
        <v>0</v>
      </c>
    </row>
    <row r="376" spans="2:36">
      <c r="B376" s="597"/>
      <c r="C376" s="597"/>
      <c r="D376" s="597"/>
      <c r="E376" s="597"/>
      <c r="F376" s="597"/>
      <c r="G376" s="597"/>
      <c r="I376" s="597"/>
      <c r="J376" s="597"/>
      <c r="K376" s="597"/>
      <c r="L376" s="597"/>
      <c r="M376" s="597"/>
      <c r="N376" s="597"/>
      <c r="O376" s="598"/>
      <c r="P376" s="90">
        <v>47</v>
      </c>
      <c r="Q376" s="71">
        <v>0</v>
      </c>
      <c r="R376" s="71">
        <v>0</v>
      </c>
      <c r="S376" s="71">
        <v>0</v>
      </c>
      <c r="T376" s="71">
        <v>0</v>
      </c>
      <c r="U376" s="71">
        <v>0</v>
      </c>
      <c r="V376" s="71">
        <v>0</v>
      </c>
      <c r="X376" s="90">
        <f t="shared" si="97"/>
        <v>0</v>
      </c>
      <c r="Y376" s="90">
        <f t="shared" si="97"/>
        <v>0</v>
      </c>
      <c r="Z376" s="90">
        <f t="shared" si="97"/>
        <v>0</v>
      </c>
      <c r="AA376" s="90">
        <f t="shared" si="97"/>
        <v>0</v>
      </c>
      <c r="AB376" s="90">
        <f t="shared" si="97"/>
        <v>0</v>
      </c>
      <c r="AC376" s="90">
        <f t="shared" si="97"/>
        <v>0</v>
      </c>
      <c r="AE376" s="71">
        <f t="shared" si="98"/>
        <v>0</v>
      </c>
      <c r="AF376" s="71">
        <f t="shared" si="98"/>
        <v>0</v>
      </c>
      <c r="AG376" s="71">
        <f t="shared" si="98"/>
        <v>0</v>
      </c>
      <c r="AH376" s="71">
        <f t="shared" si="98"/>
        <v>0</v>
      </c>
      <c r="AI376" s="71">
        <f t="shared" si="98"/>
        <v>0</v>
      </c>
      <c r="AJ376" s="71">
        <f t="shared" si="98"/>
        <v>0</v>
      </c>
    </row>
    <row r="377" spans="2:36">
      <c r="B377" s="597"/>
      <c r="C377" s="597"/>
      <c r="D377" s="597"/>
      <c r="E377" s="597"/>
      <c r="F377" s="597"/>
      <c r="G377" s="597"/>
      <c r="I377" s="597"/>
      <c r="J377" s="597"/>
      <c r="K377" s="597"/>
      <c r="L377" s="597"/>
      <c r="M377" s="597"/>
      <c r="N377" s="597"/>
      <c r="O377" s="598"/>
      <c r="P377" s="90">
        <v>47</v>
      </c>
      <c r="Q377" s="71">
        <v>0</v>
      </c>
      <c r="R377" s="71">
        <v>0</v>
      </c>
      <c r="S377" s="71">
        <v>0</v>
      </c>
      <c r="T377" s="71">
        <v>0</v>
      </c>
      <c r="U377" s="71">
        <v>0</v>
      </c>
      <c r="V377" s="71">
        <v>0</v>
      </c>
      <c r="X377" s="90">
        <f t="shared" si="97"/>
        <v>0</v>
      </c>
      <c r="Y377" s="90">
        <f t="shared" si="97"/>
        <v>0</v>
      </c>
      <c r="Z377" s="90">
        <f t="shared" si="97"/>
        <v>0</v>
      </c>
      <c r="AA377" s="90">
        <f t="shared" si="97"/>
        <v>0</v>
      </c>
      <c r="AB377" s="90">
        <f t="shared" si="97"/>
        <v>0</v>
      </c>
      <c r="AC377" s="90">
        <f t="shared" si="97"/>
        <v>0</v>
      </c>
      <c r="AE377" s="71">
        <f t="shared" si="98"/>
        <v>0</v>
      </c>
      <c r="AF377" s="71">
        <f t="shared" si="98"/>
        <v>0</v>
      </c>
      <c r="AG377" s="71">
        <f t="shared" si="98"/>
        <v>0</v>
      </c>
      <c r="AH377" s="71">
        <f t="shared" si="98"/>
        <v>0</v>
      </c>
      <c r="AI377" s="71">
        <f t="shared" si="98"/>
        <v>0</v>
      </c>
      <c r="AJ377" s="71">
        <f t="shared" si="98"/>
        <v>0</v>
      </c>
    </row>
    <row r="378" spans="2:36">
      <c r="B378" s="597"/>
      <c r="C378" s="597"/>
      <c r="D378" s="597"/>
      <c r="E378" s="597"/>
      <c r="F378" s="597"/>
      <c r="G378" s="597"/>
      <c r="I378" s="597"/>
      <c r="J378" s="597"/>
      <c r="K378" s="597"/>
      <c r="L378" s="597"/>
      <c r="M378" s="597"/>
      <c r="N378" s="597"/>
      <c r="O378" s="598"/>
      <c r="P378" s="90">
        <v>47</v>
      </c>
      <c r="Q378" s="71">
        <v>0</v>
      </c>
      <c r="R378" s="71">
        <v>0</v>
      </c>
      <c r="S378" s="71">
        <v>0</v>
      </c>
      <c r="T378" s="71">
        <v>0</v>
      </c>
      <c r="U378" s="71">
        <v>0</v>
      </c>
      <c r="V378" s="71">
        <v>0</v>
      </c>
      <c r="X378" s="90">
        <f t="shared" si="97"/>
        <v>0</v>
      </c>
      <c r="Y378" s="90">
        <f t="shared" si="97"/>
        <v>0</v>
      </c>
      <c r="Z378" s="90">
        <f t="shared" si="97"/>
        <v>0</v>
      </c>
      <c r="AA378" s="90">
        <f t="shared" si="97"/>
        <v>0</v>
      </c>
      <c r="AB378" s="90">
        <f t="shared" si="97"/>
        <v>0</v>
      </c>
      <c r="AC378" s="90">
        <f t="shared" si="97"/>
        <v>0</v>
      </c>
      <c r="AE378" s="71">
        <f t="shared" si="98"/>
        <v>0</v>
      </c>
      <c r="AF378" s="71">
        <f t="shared" si="98"/>
        <v>0</v>
      </c>
      <c r="AG378" s="71">
        <f t="shared" si="98"/>
        <v>0</v>
      </c>
      <c r="AH378" s="71">
        <f t="shared" si="98"/>
        <v>0</v>
      </c>
      <c r="AI378" s="71">
        <f t="shared" si="98"/>
        <v>0</v>
      </c>
      <c r="AJ378" s="71">
        <f t="shared" si="98"/>
        <v>0</v>
      </c>
    </row>
    <row r="379" spans="2:36">
      <c r="B379" s="597"/>
      <c r="C379" s="597"/>
      <c r="D379" s="597"/>
      <c r="E379" s="597"/>
      <c r="F379" s="597"/>
      <c r="G379" s="597"/>
      <c r="I379" s="597"/>
      <c r="J379" s="597"/>
      <c r="K379" s="597"/>
      <c r="L379" s="597"/>
      <c r="M379" s="597"/>
      <c r="N379" s="597"/>
      <c r="O379" s="598"/>
      <c r="P379" s="90">
        <v>47</v>
      </c>
      <c r="Q379" s="71">
        <v>0</v>
      </c>
      <c r="R379" s="71">
        <v>0</v>
      </c>
      <c r="S379" s="71">
        <v>0</v>
      </c>
      <c r="T379" s="71">
        <v>0</v>
      </c>
      <c r="U379" s="71">
        <v>0</v>
      </c>
      <c r="V379" s="71">
        <v>0</v>
      </c>
      <c r="X379" s="90">
        <f t="shared" si="97"/>
        <v>0</v>
      </c>
      <c r="Y379" s="90">
        <f t="shared" si="97"/>
        <v>0</v>
      </c>
      <c r="Z379" s="90">
        <f t="shared" si="97"/>
        <v>0</v>
      </c>
      <c r="AA379" s="90">
        <f t="shared" si="97"/>
        <v>0</v>
      </c>
      <c r="AB379" s="90">
        <f t="shared" si="97"/>
        <v>0</v>
      </c>
      <c r="AC379" s="90">
        <f t="shared" si="97"/>
        <v>0</v>
      </c>
      <c r="AE379" s="71">
        <f t="shared" si="98"/>
        <v>0</v>
      </c>
      <c r="AF379" s="71">
        <f t="shared" si="98"/>
        <v>0</v>
      </c>
      <c r="AG379" s="71">
        <f t="shared" si="98"/>
        <v>0</v>
      </c>
      <c r="AH379" s="71">
        <f t="shared" si="98"/>
        <v>0</v>
      </c>
      <c r="AI379" s="71">
        <f t="shared" si="98"/>
        <v>0</v>
      </c>
      <c r="AJ379" s="71">
        <f t="shared" si="98"/>
        <v>0</v>
      </c>
    </row>
    <row r="380" spans="2:36">
      <c r="B380" s="597"/>
      <c r="C380" s="597"/>
      <c r="D380" s="597"/>
      <c r="E380" s="597"/>
      <c r="F380" s="597"/>
      <c r="G380" s="597"/>
      <c r="I380" s="597"/>
      <c r="J380" s="597"/>
      <c r="K380" s="597"/>
      <c r="L380" s="597"/>
      <c r="M380" s="597"/>
      <c r="N380" s="597"/>
      <c r="O380" s="598"/>
      <c r="P380" s="90">
        <v>47</v>
      </c>
      <c r="Q380" s="71">
        <v>0</v>
      </c>
      <c r="R380" s="71">
        <v>0</v>
      </c>
      <c r="S380" s="71">
        <v>0</v>
      </c>
      <c r="T380" s="71">
        <v>0</v>
      </c>
      <c r="U380" s="71">
        <v>0</v>
      </c>
      <c r="V380" s="71">
        <v>0</v>
      </c>
      <c r="X380" s="90">
        <f t="shared" si="97"/>
        <v>0</v>
      </c>
      <c r="Y380" s="90">
        <f t="shared" si="97"/>
        <v>0</v>
      </c>
      <c r="Z380" s="90">
        <f t="shared" si="97"/>
        <v>0</v>
      </c>
      <c r="AA380" s="90">
        <f t="shared" si="97"/>
        <v>0</v>
      </c>
      <c r="AB380" s="90">
        <f t="shared" si="97"/>
        <v>0</v>
      </c>
      <c r="AC380" s="90">
        <f t="shared" si="97"/>
        <v>0</v>
      </c>
      <c r="AE380" s="71">
        <f t="shared" si="98"/>
        <v>0</v>
      </c>
      <c r="AF380" s="71">
        <f t="shared" si="98"/>
        <v>0</v>
      </c>
      <c r="AG380" s="71">
        <f t="shared" si="98"/>
        <v>0</v>
      </c>
      <c r="AH380" s="71">
        <f t="shared" si="98"/>
        <v>0</v>
      </c>
      <c r="AI380" s="71">
        <f t="shared" si="98"/>
        <v>0</v>
      </c>
      <c r="AJ380" s="71">
        <f t="shared" si="98"/>
        <v>0</v>
      </c>
    </row>
    <row r="381" spans="2:36" s="599" customFormat="1">
      <c r="B381" s="600"/>
      <c r="C381" s="600"/>
      <c r="D381" s="600"/>
      <c r="E381" s="600"/>
      <c r="F381" s="600"/>
      <c r="G381" s="600"/>
      <c r="I381" s="600"/>
      <c r="J381" s="600"/>
      <c r="K381" s="600"/>
      <c r="L381" s="600"/>
      <c r="M381" s="600"/>
      <c r="N381" s="600"/>
      <c r="O381" s="601"/>
      <c r="P381" s="599">
        <v>47</v>
      </c>
      <c r="Q381" s="602">
        <v>0</v>
      </c>
      <c r="R381" s="602">
        <v>0</v>
      </c>
      <c r="S381" s="602">
        <v>0</v>
      </c>
      <c r="T381" s="602">
        <v>0</v>
      </c>
      <c r="U381" s="602">
        <v>0</v>
      </c>
      <c r="V381" s="602">
        <v>0</v>
      </c>
      <c r="X381" s="599">
        <f t="shared" si="97"/>
        <v>0</v>
      </c>
      <c r="Y381" s="599">
        <f t="shared" si="97"/>
        <v>0</v>
      </c>
      <c r="Z381" s="599">
        <f t="shared" si="97"/>
        <v>0</v>
      </c>
      <c r="AA381" s="599">
        <f t="shared" si="97"/>
        <v>0</v>
      </c>
      <c r="AB381" s="599">
        <f t="shared" si="97"/>
        <v>0</v>
      </c>
      <c r="AC381" s="599">
        <f t="shared" si="97"/>
        <v>0</v>
      </c>
      <c r="AE381" s="602">
        <f t="shared" si="98"/>
        <v>0</v>
      </c>
      <c r="AF381" s="602">
        <f t="shared" si="98"/>
        <v>0</v>
      </c>
      <c r="AG381" s="602">
        <f t="shared" si="98"/>
        <v>0</v>
      </c>
      <c r="AH381" s="602">
        <f t="shared" si="98"/>
        <v>0</v>
      </c>
      <c r="AI381" s="602">
        <f t="shared" si="98"/>
        <v>0</v>
      </c>
      <c r="AJ381" s="602">
        <f t="shared" si="98"/>
        <v>0</v>
      </c>
    </row>
    <row r="382" spans="2:36" s="605" customFormat="1">
      <c r="B382" s="604"/>
      <c r="C382" s="604"/>
      <c r="D382" s="604"/>
      <c r="E382" s="604"/>
      <c r="F382" s="604"/>
      <c r="G382" s="604"/>
      <c r="I382" s="604"/>
      <c r="J382" s="604"/>
      <c r="K382" s="604"/>
      <c r="L382" s="604"/>
      <c r="M382" s="604"/>
      <c r="N382" s="604"/>
      <c r="O382" s="606"/>
      <c r="P382" s="605">
        <v>48</v>
      </c>
      <c r="Q382" s="607">
        <v>0</v>
      </c>
      <c r="R382" s="607">
        <v>0</v>
      </c>
      <c r="S382" s="607">
        <v>0</v>
      </c>
      <c r="T382" s="607">
        <v>0</v>
      </c>
      <c r="U382" s="607">
        <v>0</v>
      </c>
      <c r="V382" s="607">
        <v>0</v>
      </c>
      <c r="X382" s="605">
        <f t="shared" si="97"/>
        <v>0</v>
      </c>
      <c r="Y382" s="605">
        <f t="shared" si="97"/>
        <v>0</v>
      </c>
      <c r="Z382" s="605">
        <f t="shared" si="97"/>
        <v>0</v>
      </c>
      <c r="AA382" s="605">
        <f t="shared" si="97"/>
        <v>0</v>
      </c>
      <c r="AB382" s="605">
        <f t="shared" si="97"/>
        <v>0</v>
      </c>
      <c r="AC382" s="605">
        <f t="shared" si="97"/>
        <v>0</v>
      </c>
      <c r="AE382" s="607">
        <f t="shared" si="98"/>
        <v>0</v>
      </c>
      <c r="AF382" s="607">
        <f t="shared" si="98"/>
        <v>0</v>
      </c>
      <c r="AG382" s="607">
        <f t="shared" si="98"/>
        <v>0</v>
      </c>
      <c r="AH382" s="607">
        <f t="shared" si="98"/>
        <v>0</v>
      </c>
      <c r="AI382" s="607">
        <f t="shared" si="98"/>
        <v>0</v>
      </c>
      <c r="AJ382" s="607">
        <f t="shared" si="98"/>
        <v>0</v>
      </c>
    </row>
    <row r="383" spans="2:36">
      <c r="B383" s="597"/>
      <c r="C383" s="597"/>
      <c r="D383" s="597"/>
      <c r="E383" s="597"/>
      <c r="F383" s="597"/>
      <c r="G383" s="597"/>
      <c r="I383" s="597"/>
      <c r="J383" s="597"/>
      <c r="K383" s="597"/>
      <c r="L383" s="597"/>
      <c r="M383" s="597"/>
      <c r="N383" s="597"/>
      <c r="O383" s="598"/>
      <c r="P383" s="90">
        <v>48</v>
      </c>
      <c r="Q383" s="71">
        <v>0</v>
      </c>
      <c r="R383" s="71">
        <v>0</v>
      </c>
      <c r="S383" s="71">
        <v>0</v>
      </c>
      <c r="T383" s="71">
        <v>0</v>
      </c>
      <c r="U383" s="71">
        <v>0</v>
      </c>
      <c r="V383" s="71">
        <v>0</v>
      </c>
      <c r="X383" s="90">
        <f t="shared" si="97"/>
        <v>0</v>
      </c>
      <c r="Y383" s="90">
        <f t="shared" si="97"/>
        <v>0</v>
      </c>
      <c r="Z383" s="90">
        <f t="shared" si="97"/>
        <v>0</v>
      </c>
      <c r="AA383" s="90">
        <f t="shared" si="97"/>
        <v>0</v>
      </c>
      <c r="AB383" s="90">
        <f t="shared" si="97"/>
        <v>0</v>
      </c>
      <c r="AC383" s="90">
        <f t="shared" si="97"/>
        <v>0</v>
      </c>
      <c r="AE383" s="71">
        <f t="shared" si="98"/>
        <v>0</v>
      </c>
      <c r="AF383" s="71">
        <f t="shared" si="98"/>
        <v>0</v>
      </c>
      <c r="AG383" s="71">
        <f t="shared" si="98"/>
        <v>0</v>
      </c>
      <c r="AH383" s="71">
        <f t="shared" si="98"/>
        <v>0</v>
      </c>
      <c r="AI383" s="71">
        <f t="shared" si="98"/>
        <v>0</v>
      </c>
      <c r="AJ383" s="71">
        <f t="shared" si="98"/>
        <v>0</v>
      </c>
    </row>
    <row r="384" spans="2:36">
      <c r="B384" s="597"/>
      <c r="C384" s="597"/>
      <c r="D384" s="597"/>
      <c r="E384" s="597"/>
      <c r="F384" s="597"/>
      <c r="G384" s="597"/>
      <c r="I384" s="597"/>
      <c r="J384" s="597"/>
      <c r="K384" s="597"/>
      <c r="L384" s="597"/>
      <c r="M384" s="597"/>
      <c r="N384" s="597"/>
      <c r="O384" s="598"/>
      <c r="P384" s="90">
        <v>48</v>
      </c>
      <c r="Q384" s="71">
        <v>0</v>
      </c>
      <c r="R384" s="71">
        <v>0</v>
      </c>
      <c r="S384" s="71">
        <v>0</v>
      </c>
      <c r="T384" s="71">
        <v>0</v>
      </c>
      <c r="U384" s="71">
        <v>0</v>
      </c>
      <c r="V384" s="71">
        <v>0</v>
      </c>
      <c r="X384" s="90">
        <f t="shared" si="97"/>
        <v>0</v>
      </c>
      <c r="Y384" s="90">
        <f t="shared" si="97"/>
        <v>0</v>
      </c>
      <c r="Z384" s="90">
        <f t="shared" si="97"/>
        <v>0</v>
      </c>
      <c r="AA384" s="90">
        <f t="shared" si="97"/>
        <v>0</v>
      </c>
      <c r="AB384" s="90">
        <f t="shared" si="97"/>
        <v>0</v>
      </c>
      <c r="AC384" s="90">
        <f t="shared" si="97"/>
        <v>0</v>
      </c>
      <c r="AE384" s="71">
        <f t="shared" si="98"/>
        <v>0</v>
      </c>
      <c r="AF384" s="71">
        <f t="shared" si="98"/>
        <v>0</v>
      </c>
      <c r="AG384" s="71">
        <f t="shared" si="98"/>
        <v>0</v>
      </c>
      <c r="AH384" s="71">
        <f t="shared" si="98"/>
        <v>0</v>
      </c>
      <c r="AI384" s="71">
        <f t="shared" si="98"/>
        <v>0</v>
      </c>
      <c r="AJ384" s="71">
        <f t="shared" si="98"/>
        <v>0</v>
      </c>
    </row>
    <row r="385" spans="2:36">
      <c r="B385" s="597"/>
      <c r="C385" s="597"/>
      <c r="D385" s="597"/>
      <c r="E385" s="597"/>
      <c r="F385" s="597"/>
      <c r="G385" s="597"/>
      <c r="I385" s="597"/>
      <c r="J385" s="597"/>
      <c r="K385" s="597"/>
      <c r="L385" s="597"/>
      <c r="M385" s="597"/>
      <c r="N385" s="597"/>
      <c r="O385" s="598"/>
      <c r="P385" s="90">
        <v>48</v>
      </c>
      <c r="Q385" s="71">
        <v>0</v>
      </c>
      <c r="R385" s="71">
        <v>0</v>
      </c>
      <c r="S385" s="71">
        <v>0</v>
      </c>
      <c r="T385" s="71">
        <v>0</v>
      </c>
      <c r="U385" s="71">
        <v>0</v>
      </c>
      <c r="V385" s="71">
        <v>0</v>
      </c>
      <c r="X385" s="90">
        <f t="shared" si="97"/>
        <v>0</v>
      </c>
      <c r="Y385" s="90">
        <f t="shared" si="97"/>
        <v>0</v>
      </c>
      <c r="Z385" s="90">
        <f t="shared" si="97"/>
        <v>0</v>
      </c>
      <c r="AA385" s="90">
        <f t="shared" ref="AA385:AC405" si="99">E385*T385</f>
        <v>0</v>
      </c>
      <c r="AB385" s="90">
        <f t="shared" si="99"/>
        <v>0</v>
      </c>
      <c r="AC385" s="90">
        <f t="shared" si="99"/>
        <v>0</v>
      </c>
      <c r="AE385" s="71">
        <f t="shared" si="98"/>
        <v>0</v>
      </c>
      <c r="AF385" s="71">
        <f t="shared" si="98"/>
        <v>0</v>
      </c>
      <c r="AG385" s="71">
        <f t="shared" si="98"/>
        <v>0</v>
      </c>
      <c r="AH385" s="71">
        <f t="shared" ref="AH385:AJ405" si="100">L385*T385</f>
        <v>0</v>
      </c>
      <c r="AI385" s="71">
        <f t="shared" si="100"/>
        <v>0</v>
      </c>
      <c r="AJ385" s="71">
        <f t="shared" si="100"/>
        <v>0</v>
      </c>
    </row>
    <row r="386" spans="2:36">
      <c r="B386" s="597"/>
      <c r="C386" s="597"/>
      <c r="D386" s="597"/>
      <c r="E386" s="597"/>
      <c r="F386" s="597"/>
      <c r="G386" s="597"/>
      <c r="I386" s="597"/>
      <c r="J386" s="597"/>
      <c r="K386" s="597"/>
      <c r="L386" s="597"/>
      <c r="M386" s="597"/>
      <c r="N386" s="597"/>
      <c r="O386" s="598"/>
      <c r="P386" s="90">
        <v>48</v>
      </c>
      <c r="Q386" s="71">
        <v>0</v>
      </c>
      <c r="R386" s="71">
        <v>0</v>
      </c>
      <c r="S386" s="71">
        <v>0</v>
      </c>
      <c r="T386" s="71">
        <v>0</v>
      </c>
      <c r="U386" s="71">
        <v>0</v>
      </c>
      <c r="V386" s="71">
        <v>0</v>
      </c>
      <c r="X386" s="90">
        <f t="shared" ref="X386:Z405" si="101">B386*Q386</f>
        <v>0</v>
      </c>
      <c r="Y386" s="90">
        <f t="shared" si="101"/>
        <v>0</v>
      </c>
      <c r="Z386" s="90">
        <f t="shared" si="101"/>
        <v>0</v>
      </c>
      <c r="AA386" s="90">
        <f t="shared" si="99"/>
        <v>0</v>
      </c>
      <c r="AB386" s="90">
        <f t="shared" si="99"/>
        <v>0</v>
      </c>
      <c r="AC386" s="90">
        <f t="shared" si="99"/>
        <v>0</v>
      </c>
      <c r="AE386" s="71">
        <f t="shared" ref="AE386:AG405" si="102">I386*Q386</f>
        <v>0</v>
      </c>
      <c r="AF386" s="71">
        <f t="shared" si="102"/>
        <v>0</v>
      </c>
      <c r="AG386" s="71">
        <f t="shared" si="102"/>
        <v>0</v>
      </c>
      <c r="AH386" s="71">
        <f t="shared" si="100"/>
        <v>0</v>
      </c>
      <c r="AI386" s="71">
        <f t="shared" si="100"/>
        <v>0</v>
      </c>
      <c r="AJ386" s="71">
        <f t="shared" si="100"/>
        <v>0</v>
      </c>
    </row>
    <row r="387" spans="2:36">
      <c r="B387" s="597"/>
      <c r="C387" s="597"/>
      <c r="D387" s="597"/>
      <c r="E387" s="597"/>
      <c r="F387" s="597"/>
      <c r="G387" s="597"/>
      <c r="I387" s="597"/>
      <c r="J387" s="597"/>
      <c r="K387" s="597"/>
      <c r="L387" s="597"/>
      <c r="M387" s="597"/>
      <c r="N387" s="597"/>
      <c r="O387" s="598"/>
      <c r="P387" s="90">
        <v>48</v>
      </c>
      <c r="Q387" s="71">
        <v>0</v>
      </c>
      <c r="R387" s="71">
        <v>0</v>
      </c>
      <c r="S387" s="71">
        <v>0</v>
      </c>
      <c r="T387" s="71">
        <v>0</v>
      </c>
      <c r="U387" s="71">
        <v>0</v>
      </c>
      <c r="V387" s="71">
        <v>0</v>
      </c>
      <c r="X387" s="90">
        <f t="shared" si="101"/>
        <v>0</v>
      </c>
      <c r="Y387" s="90">
        <f t="shared" si="101"/>
        <v>0</v>
      </c>
      <c r="Z387" s="90">
        <f t="shared" si="101"/>
        <v>0</v>
      </c>
      <c r="AA387" s="90">
        <f t="shared" si="99"/>
        <v>0</v>
      </c>
      <c r="AB387" s="90">
        <f t="shared" si="99"/>
        <v>0</v>
      </c>
      <c r="AC387" s="90">
        <f t="shared" si="99"/>
        <v>0</v>
      </c>
      <c r="AE387" s="71">
        <f t="shared" si="102"/>
        <v>0</v>
      </c>
      <c r="AF387" s="71">
        <f t="shared" si="102"/>
        <v>0</v>
      </c>
      <c r="AG387" s="71">
        <f t="shared" si="102"/>
        <v>0</v>
      </c>
      <c r="AH387" s="71">
        <f t="shared" si="100"/>
        <v>0</v>
      </c>
      <c r="AI387" s="71">
        <f t="shared" si="100"/>
        <v>0</v>
      </c>
      <c r="AJ387" s="71">
        <f t="shared" si="100"/>
        <v>0</v>
      </c>
    </row>
    <row r="388" spans="2:36">
      <c r="B388" s="597"/>
      <c r="C388" s="597"/>
      <c r="D388" s="597"/>
      <c r="E388" s="597"/>
      <c r="F388" s="597"/>
      <c r="G388" s="597"/>
      <c r="I388" s="597"/>
      <c r="J388" s="597"/>
      <c r="K388" s="597"/>
      <c r="L388" s="597"/>
      <c r="M388" s="597"/>
      <c r="N388" s="597"/>
      <c r="O388" s="598"/>
      <c r="P388" s="90">
        <v>48</v>
      </c>
      <c r="Q388" s="71">
        <v>0</v>
      </c>
      <c r="R388" s="71">
        <v>0</v>
      </c>
      <c r="S388" s="71">
        <v>0</v>
      </c>
      <c r="T388" s="71">
        <v>0</v>
      </c>
      <c r="U388" s="71">
        <v>0</v>
      </c>
      <c r="V388" s="71">
        <v>0</v>
      </c>
      <c r="X388" s="90">
        <f t="shared" si="101"/>
        <v>0</v>
      </c>
      <c r="Y388" s="90">
        <f t="shared" si="101"/>
        <v>0</v>
      </c>
      <c r="Z388" s="90">
        <f t="shared" si="101"/>
        <v>0</v>
      </c>
      <c r="AA388" s="90">
        <f t="shared" si="99"/>
        <v>0</v>
      </c>
      <c r="AB388" s="90">
        <f t="shared" si="99"/>
        <v>0</v>
      </c>
      <c r="AC388" s="90">
        <f t="shared" si="99"/>
        <v>0</v>
      </c>
      <c r="AE388" s="71">
        <f t="shared" si="102"/>
        <v>0</v>
      </c>
      <c r="AF388" s="71">
        <f t="shared" si="102"/>
        <v>0</v>
      </c>
      <c r="AG388" s="71">
        <f t="shared" si="102"/>
        <v>0</v>
      </c>
      <c r="AH388" s="71">
        <f t="shared" si="100"/>
        <v>0</v>
      </c>
      <c r="AI388" s="71">
        <f t="shared" si="100"/>
        <v>0</v>
      </c>
      <c r="AJ388" s="71">
        <f t="shared" si="100"/>
        <v>0</v>
      </c>
    </row>
    <row r="389" spans="2:36" s="599" customFormat="1">
      <c r="B389" s="600"/>
      <c r="C389" s="600"/>
      <c r="D389" s="600"/>
      <c r="E389" s="600"/>
      <c r="F389" s="600"/>
      <c r="G389" s="600"/>
      <c r="I389" s="600"/>
      <c r="J389" s="600"/>
      <c r="K389" s="600"/>
      <c r="L389" s="600"/>
      <c r="M389" s="600"/>
      <c r="N389" s="600"/>
      <c r="O389" s="601"/>
      <c r="P389" s="599">
        <v>48</v>
      </c>
      <c r="Q389" s="602">
        <v>0</v>
      </c>
      <c r="R389" s="602">
        <v>0</v>
      </c>
      <c r="S389" s="602">
        <v>0</v>
      </c>
      <c r="T389" s="602">
        <v>0</v>
      </c>
      <c r="U389" s="602">
        <v>0</v>
      </c>
      <c r="V389" s="602">
        <v>0</v>
      </c>
      <c r="X389" s="599">
        <f t="shared" si="101"/>
        <v>0</v>
      </c>
      <c r="Y389" s="599">
        <f t="shared" si="101"/>
        <v>0</v>
      </c>
      <c r="Z389" s="599">
        <f t="shared" si="101"/>
        <v>0</v>
      </c>
      <c r="AA389" s="599">
        <f t="shared" si="99"/>
        <v>0</v>
      </c>
      <c r="AB389" s="599">
        <f t="shared" si="99"/>
        <v>0</v>
      </c>
      <c r="AC389" s="599">
        <f t="shared" si="99"/>
        <v>0</v>
      </c>
      <c r="AE389" s="602">
        <f t="shared" si="102"/>
        <v>0</v>
      </c>
      <c r="AF389" s="602">
        <f t="shared" si="102"/>
        <v>0</v>
      </c>
      <c r="AG389" s="602">
        <f t="shared" si="102"/>
        <v>0</v>
      </c>
      <c r="AH389" s="602">
        <f t="shared" si="100"/>
        <v>0</v>
      </c>
      <c r="AI389" s="602">
        <f t="shared" si="100"/>
        <v>0</v>
      </c>
      <c r="AJ389" s="602">
        <f t="shared" si="100"/>
        <v>0</v>
      </c>
    </row>
    <row r="390" spans="2:36" s="605" customFormat="1">
      <c r="B390" s="604"/>
      <c r="C390" s="604"/>
      <c r="D390" s="604"/>
      <c r="E390" s="604"/>
      <c r="F390" s="604"/>
      <c r="G390" s="604"/>
      <c r="I390" s="604"/>
      <c r="J390" s="604"/>
      <c r="K390" s="604"/>
      <c r="L390" s="604"/>
      <c r="M390" s="604"/>
      <c r="N390" s="604"/>
      <c r="O390" s="606"/>
      <c r="P390" s="605">
        <v>49</v>
      </c>
      <c r="Q390" s="607">
        <v>0</v>
      </c>
      <c r="R390" s="607">
        <v>0</v>
      </c>
      <c r="S390" s="607">
        <v>0</v>
      </c>
      <c r="T390" s="607">
        <v>0</v>
      </c>
      <c r="U390" s="607">
        <v>0</v>
      </c>
      <c r="V390" s="607">
        <v>0</v>
      </c>
      <c r="X390" s="605">
        <f t="shared" si="101"/>
        <v>0</v>
      </c>
      <c r="Y390" s="605">
        <f t="shared" si="101"/>
        <v>0</v>
      </c>
      <c r="Z390" s="605">
        <f t="shared" si="101"/>
        <v>0</v>
      </c>
      <c r="AA390" s="605">
        <f t="shared" si="99"/>
        <v>0</v>
      </c>
      <c r="AB390" s="605">
        <f t="shared" si="99"/>
        <v>0</v>
      </c>
      <c r="AC390" s="605">
        <f t="shared" si="99"/>
        <v>0</v>
      </c>
      <c r="AE390" s="607">
        <f t="shared" si="102"/>
        <v>0</v>
      </c>
      <c r="AF390" s="607">
        <f t="shared" si="102"/>
        <v>0</v>
      </c>
      <c r="AG390" s="607">
        <f t="shared" si="102"/>
        <v>0</v>
      </c>
      <c r="AH390" s="607">
        <f t="shared" si="100"/>
        <v>0</v>
      </c>
      <c r="AI390" s="607">
        <f t="shared" si="100"/>
        <v>0</v>
      </c>
      <c r="AJ390" s="607">
        <f t="shared" si="100"/>
        <v>0</v>
      </c>
    </row>
    <row r="391" spans="2:36">
      <c r="B391" s="597"/>
      <c r="C391" s="597"/>
      <c r="D391" s="597"/>
      <c r="E391" s="597"/>
      <c r="F391" s="597"/>
      <c r="G391" s="597"/>
      <c r="I391" s="597"/>
      <c r="J391" s="597"/>
      <c r="K391" s="597"/>
      <c r="L391" s="597"/>
      <c r="M391" s="597"/>
      <c r="N391" s="597"/>
      <c r="O391" s="598"/>
      <c r="P391" s="90">
        <v>49</v>
      </c>
      <c r="Q391" s="71">
        <v>0</v>
      </c>
      <c r="R391" s="71">
        <v>0</v>
      </c>
      <c r="S391" s="71">
        <v>0</v>
      </c>
      <c r="T391" s="71">
        <v>0</v>
      </c>
      <c r="U391" s="71">
        <v>0</v>
      </c>
      <c r="V391" s="71">
        <v>0</v>
      </c>
      <c r="X391" s="90">
        <f t="shared" si="101"/>
        <v>0</v>
      </c>
      <c r="Y391" s="90">
        <f t="shared" si="101"/>
        <v>0</v>
      </c>
      <c r="Z391" s="90">
        <f t="shared" si="101"/>
        <v>0</v>
      </c>
      <c r="AA391" s="90">
        <f t="shared" si="99"/>
        <v>0</v>
      </c>
      <c r="AB391" s="90">
        <f t="shared" si="99"/>
        <v>0</v>
      </c>
      <c r="AC391" s="90">
        <f t="shared" si="99"/>
        <v>0</v>
      </c>
      <c r="AE391" s="71">
        <f t="shared" si="102"/>
        <v>0</v>
      </c>
      <c r="AF391" s="71">
        <f t="shared" si="102"/>
        <v>0</v>
      </c>
      <c r="AG391" s="71">
        <f t="shared" si="102"/>
        <v>0</v>
      </c>
      <c r="AH391" s="71">
        <f t="shared" si="100"/>
        <v>0</v>
      </c>
      <c r="AI391" s="71">
        <f t="shared" si="100"/>
        <v>0</v>
      </c>
      <c r="AJ391" s="71">
        <f t="shared" si="100"/>
        <v>0</v>
      </c>
    </row>
    <row r="392" spans="2:36">
      <c r="B392" s="597"/>
      <c r="C392" s="597"/>
      <c r="D392" s="597"/>
      <c r="E392" s="597"/>
      <c r="F392" s="597"/>
      <c r="G392" s="597"/>
      <c r="I392" s="597"/>
      <c r="J392" s="597"/>
      <c r="K392" s="597"/>
      <c r="L392" s="597"/>
      <c r="M392" s="597"/>
      <c r="N392" s="597"/>
      <c r="O392" s="598"/>
      <c r="P392" s="90">
        <v>49</v>
      </c>
      <c r="Q392" s="71">
        <v>0</v>
      </c>
      <c r="R392" s="71">
        <v>0</v>
      </c>
      <c r="S392" s="71">
        <v>0</v>
      </c>
      <c r="T392" s="71">
        <v>0</v>
      </c>
      <c r="U392" s="71">
        <v>0</v>
      </c>
      <c r="V392" s="71">
        <v>0</v>
      </c>
      <c r="X392" s="90">
        <f t="shared" si="101"/>
        <v>0</v>
      </c>
      <c r="Y392" s="90">
        <f t="shared" si="101"/>
        <v>0</v>
      </c>
      <c r="Z392" s="90">
        <f t="shared" si="101"/>
        <v>0</v>
      </c>
      <c r="AA392" s="90">
        <f t="shared" si="99"/>
        <v>0</v>
      </c>
      <c r="AB392" s="90">
        <f t="shared" si="99"/>
        <v>0</v>
      </c>
      <c r="AC392" s="90">
        <f t="shared" si="99"/>
        <v>0</v>
      </c>
      <c r="AE392" s="71">
        <f t="shared" si="102"/>
        <v>0</v>
      </c>
      <c r="AF392" s="71">
        <f t="shared" si="102"/>
        <v>0</v>
      </c>
      <c r="AG392" s="71">
        <f t="shared" si="102"/>
        <v>0</v>
      </c>
      <c r="AH392" s="71">
        <f t="shared" si="100"/>
        <v>0</v>
      </c>
      <c r="AI392" s="71">
        <f t="shared" si="100"/>
        <v>0</v>
      </c>
      <c r="AJ392" s="71">
        <f t="shared" si="100"/>
        <v>0</v>
      </c>
    </row>
    <row r="393" spans="2:36">
      <c r="B393" s="597"/>
      <c r="C393" s="597"/>
      <c r="D393" s="597"/>
      <c r="E393" s="597"/>
      <c r="F393" s="597"/>
      <c r="G393" s="597"/>
      <c r="I393" s="597"/>
      <c r="J393" s="597"/>
      <c r="K393" s="597"/>
      <c r="L393" s="597"/>
      <c r="M393" s="597"/>
      <c r="N393" s="597"/>
      <c r="O393" s="598"/>
      <c r="P393" s="90">
        <v>49</v>
      </c>
      <c r="Q393" s="71">
        <v>0</v>
      </c>
      <c r="R393" s="71">
        <v>0</v>
      </c>
      <c r="S393" s="71">
        <v>0</v>
      </c>
      <c r="T393" s="71">
        <v>0</v>
      </c>
      <c r="U393" s="71">
        <v>0</v>
      </c>
      <c r="V393" s="71">
        <v>0</v>
      </c>
      <c r="X393" s="90">
        <f t="shared" si="101"/>
        <v>0</v>
      </c>
      <c r="Y393" s="90">
        <f t="shared" si="101"/>
        <v>0</v>
      </c>
      <c r="Z393" s="90">
        <f t="shared" si="101"/>
        <v>0</v>
      </c>
      <c r="AA393" s="90">
        <f t="shared" si="99"/>
        <v>0</v>
      </c>
      <c r="AB393" s="90">
        <f t="shared" si="99"/>
        <v>0</v>
      </c>
      <c r="AC393" s="90">
        <f t="shared" si="99"/>
        <v>0</v>
      </c>
      <c r="AE393" s="71">
        <f t="shared" si="102"/>
        <v>0</v>
      </c>
      <c r="AF393" s="71">
        <f t="shared" si="102"/>
        <v>0</v>
      </c>
      <c r="AG393" s="71">
        <f t="shared" si="102"/>
        <v>0</v>
      </c>
      <c r="AH393" s="71">
        <f t="shared" si="100"/>
        <v>0</v>
      </c>
      <c r="AI393" s="71">
        <f t="shared" si="100"/>
        <v>0</v>
      </c>
      <c r="AJ393" s="71">
        <f t="shared" si="100"/>
        <v>0</v>
      </c>
    </row>
    <row r="394" spans="2:36">
      <c r="B394" s="597"/>
      <c r="C394" s="597"/>
      <c r="D394" s="597"/>
      <c r="E394" s="597"/>
      <c r="F394" s="597"/>
      <c r="G394" s="597"/>
      <c r="I394" s="597"/>
      <c r="J394" s="597"/>
      <c r="K394" s="597"/>
      <c r="L394" s="597"/>
      <c r="M394" s="597"/>
      <c r="N394" s="597"/>
      <c r="O394" s="598"/>
      <c r="P394" s="90">
        <v>49</v>
      </c>
      <c r="Q394" s="71">
        <v>0</v>
      </c>
      <c r="R394" s="71">
        <v>0</v>
      </c>
      <c r="S394" s="71">
        <v>0</v>
      </c>
      <c r="T394" s="71">
        <v>0</v>
      </c>
      <c r="U394" s="71">
        <v>0</v>
      </c>
      <c r="V394" s="71">
        <v>0</v>
      </c>
      <c r="X394" s="90">
        <f t="shared" si="101"/>
        <v>0</v>
      </c>
      <c r="Y394" s="90">
        <f t="shared" si="101"/>
        <v>0</v>
      </c>
      <c r="Z394" s="90">
        <f t="shared" si="101"/>
        <v>0</v>
      </c>
      <c r="AA394" s="90">
        <f t="shared" si="99"/>
        <v>0</v>
      </c>
      <c r="AB394" s="90">
        <f t="shared" si="99"/>
        <v>0</v>
      </c>
      <c r="AC394" s="90">
        <f t="shared" si="99"/>
        <v>0</v>
      </c>
      <c r="AE394" s="71">
        <f t="shared" si="102"/>
        <v>0</v>
      </c>
      <c r="AF394" s="71">
        <f t="shared" si="102"/>
        <v>0</v>
      </c>
      <c r="AG394" s="71">
        <f t="shared" si="102"/>
        <v>0</v>
      </c>
      <c r="AH394" s="71">
        <f t="shared" si="100"/>
        <v>0</v>
      </c>
      <c r="AI394" s="71">
        <f t="shared" si="100"/>
        <v>0</v>
      </c>
      <c r="AJ394" s="71">
        <f t="shared" si="100"/>
        <v>0</v>
      </c>
    </row>
    <row r="395" spans="2:36">
      <c r="B395" s="597"/>
      <c r="C395" s="597"/>
      <c r="D395" s="597"/>
      <c r="E395" s="597"/>
      <c r="F395" s="597"/>
      <c r="G395" s="597"/>
      <c r="I395" s="597"/>
      <c r="J395" s="597"/>
      <c r="K395" s="597"/>
      <c r="L395" s="597"/>
      <c r="M395" s="597"/>
      <c r="N395" s="597"/>
      <c r="O395" s="598"/>
      <c r="P395" s="90">
        <v>49</v>
      </c>
      <c r="Q395" s="71">
        <v>0</v>
      </c>
      <c r="R395" s="71">
        <v>0</v>
      </c>
      <c r="S395" s="71">
        <v>0</v>
      </c>
      <c r="T395" s="71">
        <v>0</v>
      </c>
      <c r="U395" s="71">
        <v>0</v>
      </c>
      <c r="V395" s="71">
        <v>0</v>
      </c>
      <c r="X395" s="90">
        <f t="shared" si="101"/>
        <v>0</v>
      </c>
      <c r="Y395" s="90">
        <f t="shared" si="101"/>
        <v>0</v>
      </c>
      <c r="Z395" s="90">
        <f t="shared" si="101"/>
        <v>0</v>
      </c>
      <c r="AA395" s="90">
        <f t="shared" si="99"/>
        <v>0</v>
      </c>
      <c r="AB395" s="90">
        <f t="shared" si="99"/>
        <v>0</v>
      </c>
      <c r="AC395" s="90">
        <f t="shared" si="99"/>
        <v>0</v>
      </c>
      <c r="AE395" s="71">
        <f t="shared" si="102"/>
        <v>0</v>
      </c>
      <c r="AF395" s="71">
        <f t="shared" si="102"/>
        <v>0</v>
      </c>
      <c r="AG395" s="71">
        <f t="shared" si="102"/>
        <v>0</v>
      </c>
      <c r="AH395" s="71">
        <f t="shared" si="100"/>
        <v>0</v>
      </c>
      <c r="AI395" s="71">
        <f t="shared" si="100"/>
        <v>0</v>
      </c>
      <c r="AJ395" s="71">
        <f t="shared" si="100"/>
        <v>0</v>
      </c>
    </row>
    <row r="396" spans="2:36">
      <c r="B396" s="597"/>
      <c r="C396" s="597"/>
      <c r="D396" s="597"/>
      <c r="E396" s="597"/>
      <c r="F396" s="597"/>
      <c r="G396" s="597"/>
      <c r="I396" s="597"/>
      <c r="J396" s="597"/>
      <c r="K396" s="597"/>
      <c r="L396" s="597"/>
      <c r="M396" s="597"/>
      <c r="N396" s="597"/>
      <c r="O396" s="598"/>
      <c r="P396" s="90">
        <v>49</v>
      </c>
      <c r="Q396" s="71">
        <v>0</v>
      </c>
      <c r="R396" s="71">
        <v>0</v>
      </c>
      <c r="S396" s="71">
        <v>0</v>
      </c>
      <c r="T396" s="71">
        <v>0</v>
      </c>
      <c r="U396" s="71">
        <v>0</v>
      </c>
      <c r="V396" s="71">
        <v>0</v>
      </c>
      <c r="X396" s="90">
        <f t="shared" si="101"/>
        <v>0</v>
      </c>
      <c r="Y396" s="90">
        <f t="shared" si="101"/>
        <v>0</v>
      </c>
      <c r="Z396" s="90">
        <f t="shared" si="101"/>
        <v>0</v>
      </c>
      <c r="AA396" s="90">
        <f t="shared" si="99"/>
        <v>0</v>
      </c>
      <c r="AB396" s="90">
        <f t="shared" si="99"/>
        <v>0</v>
      </c>
      <c r="AC396" s="90">
        <f t="shared" si="99"/>
        <v>0</v>
      </c>
      <c r="AE396" s="71">
        <f t="shared" si="102"/>
        <v>0</v>
      </c>
      <c r="AF396" s="71">
        <f t="shared" si="102"/>
        <v>0</v>
      </c>
      <c r="AG396" s="71">
        <f t="shared" si="102"/>
        <v>0</v>
      </c>
      <c r="AH396" s="71">
        <f t="shared" si="100"/>
        <v>0</v>
      </c>
      <c r="AI396" s="71">
        <f t="shared" si="100"/>
        <v>0</v>
      </c>
      <c r="AJ396" s="71">
        <f t="shared" si="100"/>
        <v>0</v>
      </c>
    </row>
    <row r="397" spans="2:36" s="599" customFormat="1">
      <c r="B397" s="600"/>
      <c r="C397" s="600"/>
      <c r="D397" s="600"/>
      <c r="E397" s="600"/>
      <c r="F397" s="600"/>
      <c r="G397" s="600"/>
      <c r="I397" s="600"/>
      <c r="J397" s="600"/>
      <c r="K397" s="600"/>
      <c r="L397" s="600"/>
      <c r="M397" s="600"/>
      <c r="N397" s="600"/>
      <c r="O397" s="601"/>
      <c r="P397" s="599">
        <v>49</v>
      </c>
      <c r="Q397" s="602">
        <v>0</v>
      </c>
      <c r="R397" s="602">
        <v>0</v>
      </c>
      <c r="S397" s="602">
        <v>0</v>
      </c>
      <c r="T397" s="602">
        <v>0</v>
      </c>
      <c r="U397" s="602">
        <v>0</v>
      </c>
      <c r="V397" s="602">
        <v>0</v>
      </c>
      <c r="X397" s="599">
        <f t="shared" si="101"/>
        <v>0</v>
      </c>
      <c r="Y397" s="599">
        <f t="shared" si="101"/>
        <v>0</v>
      </c>
      <c r="Z397" s="599">
        <f t="shared" si="101"/>
        <v>0</v>
      </c>
      <c r="AA397" s="599">
        <f t="shared" si="99"/>
        <v>0</v>
      </c>
      <c r="AB397" s="599">
        <f t="shared" si="99"/>
        <v>0</v>
      </c>
      <c r="AC397" s="599">
        <f t="shared" si="99"/>
        <v>0</v>
      </c>
      <c r="AE397" s="602">
        <f t="shared" si="102"/>
        <v>0</v>
      </c>
      <c r="AF397" s="602">
        <f t="shared" si="102"/>
        <v>0</v>
      </c>
      <c r="AG397" s="602">
        <f t="shared" si="102"/>
        <v>0</v>
      </c>
      <c r="AH397" s="602">
        <f t="shared" si="100"/>
        <v>0</v>
      </c>
      <c r="AI397" s="602">
        <f t="shared" si="100"/>
        <v>0</v>
      </c>
      <c r="AJ397" s="602">
        <f t="shared" si="100"/>
        <v>0</v>
      </c>
    </row>
    <row r="398" spans="2:36" s="605" customFormat="1">
      <c r="B398" s="604"/>
      <c r="C398" s="604"/>
      <c r="D398" s="604"/>
      <c r="E398" s="604"/>
      <c r="F398" s="604"/>
      <c r="G398" s="604"/>
      <c r="I398" s="604"/>
      <c r="J398" s="604"/>
      <c r="K398" s="604"/>
      <c r="L398" s="604"/>
      <c r="M398" s="604"/>
      <c r="N398" s="604"/>
      <c r="O398" s="606"/>
      <c r="P398" s="605">
        <v>50</v>
      </c>
      <c r="Q398" s="607">
        <v>0</v>
      </c>
      <c r="R398" s="607">
        <v>0</v>
      </c>
      <c r="S398" s="607">
        <v>0</v>
      </c>
      <c r="T398" s="607">
        <v>0</v>
      </c>
      <c r="U398" s="607">
        <v>0</v>
      </c>
      <c r="V398" s="607">
        <v>0</v>
      </c>
      <c r="X398" s="605">
        <f t="shared" si="101"/>
        <v>0</v>
      </c>
      <c r="Y398" s="605">
        <f t="shared" si="101"/>
        <v>0</v>
      </c>
      <c r="Z398" s="605">
        <f t="shared" si="101"/>
        <v>0</v>
      </c>
      <c r="AA398" s="605">
        <f t="shared" si="99"/>
        <v>0</v>
      </c>
      <c r="AB398" s="605">
        <f t="shared" si="99"/>
        <v>0</v>
      </c>
      <c r="AC398" s="605">
        <f t="shared" si="99"/>
        <v>0</v>
      </c>
      <c r="AE398" s="607">
        <f t="shared" si="102"/>
        <v>0</v>
      </c>
      <c r="AF398" s="607">
        <f t="shared" si="102"/>
        <v>0</v>
      </c>
      <c r="AG398" s="607">
        <f t="shared" si="102"/>
        <v>0</v>
      </c>
      <c r="AH398" s="607">
        <f t="shared" si="100"/>
        <v>0</v>
      </c>
      <c r="AI398" s="607">
        <f t="shared" si="100"/>
        <v>0</v>
      </c>
      <c r="AJ398" s="607">
        <f t="shared" si="100"/>
        <v>0</v>
      </c>
    </row>
    <row r="399" spans="2:36">
      <c r="B399" s="597"/>
      <c r="C399" s="597"/>
      <c r="D399" s="597"/>
      <c r="E399" s="597"/>
      <c r="F399" s="597"/>
      <c r="G399" s="597"/>
      <c r="I399" s="597"/>
      <c r="J399" s="597"/>
      <c r="K399" s="597"/>
      <c r="L399" s="597"/>
      <c r="M399" s="597"/>
      <c r="N399" s="597"/>
      <c r="O399" s="598"/>
      <c r="P399" s="90">
        <v>50</v>
      </c>
      <c r="Q399" s="71">
        <v>0</v>
      </c>
      <c r="R399" s="71">
        <v>0</v>
      </c>
      <c r="S399" s="71">
        <v>0</v>
      </c>
      <c r="T399" s="71">
        <v>0</v>
      </c>
      <c r="U399" s="71">
        <v>0</v>
      </c>
      <c r="V399" s="71">
        <v>0</v>
      </c>
      <c r="X399" s="90">
        <f t="shared" si="101"/>
        <v>0</v>
      </c>
      <c r="Y399" s="90">
        <f t="shared" si="101"/>
        <v>0</v>
      </c>
      <c r="Z399" s="90">
        <f t="shared" si="101"/>
        <v>0</v>
      </c>
      <c r="AA399" s="90">
        <f t="shared" si="99"/>
        <v>0</v>
      </c>
      <c r="AB399" s="90">
        <f t="shared" si="99"/>
        <v>0</v>
      </c>
      <c r="AC399" s="90">
        <f t="shared" si="99"/>
        <v>0</v>
      </c>
      <c r="AE399" s="71">
        <f t="shared" si="102"/>
        <v>0</v>
      </c>
      <c r="AF399" s="71">
        <f t="shared" si="102"/>
        <v>0</v>
      </c>
      <c r="AG399" s="71">
        <f t="shared" si="102"/>
        <v>0</v>
      </c>
      <c r="AH399" s="71">
        <f t="shared" si="100"/>
        <v>0</v>
      </c>
      <c r="AI399" s="71">
        <f t="shared" si="100"/>
        <v>0</v>
      </c>
      <c r="AJ399" s="71">
        <f t="shared" si="100"/>
        <v>0</v>
      </c>
    </row>
    <row r="400" spans="2:36">
      <c r="B400" s="597"/>
      <c r="C400" s="597"/>
      <c r="D400" s="597"/>
      <c r="E400" s="597"/>
      <c r="F400" s="597"/>
      <c r="G400" s="597"/>
      <c r="I400" s="597"/>
      <c r="J400" s="597"/>
      <c r="K400" s="597"/>
      <c r="L400" s="597"/>
      <c r="M400" s="597"/>
      <c r="N400" s="597"/>
      <c r="O400" s="598"/>
      <c r="P400" s="90">
        <v>50</v>
      </c>
      <c r="Q400" s="71">
        <v>0</v>
      </c>
      <c r="R400" s="71">
        <v>0</v>
      </c>
      <c r="S400" s="71">
        <v>0</v>
      </c>
      <c r="T400" s="71">
        <v>0</v>
      </c>
      <c r="U400" s="71">
        <v>0</v>
      </c>
      <c r="V400" s="71">
        <v>0</v>
      </c>
      <c r="X400" s="90">
        <f t="shared" si="101"/>
        <v>0</v>
      </c>
      <c r="Y400" s="90">
        <f t="shared" si="101"/>
        <v>0</v>
      </c>
      <c r="Z400" s="90">
        <f t="shared" si="101"/>
        <v>0</v>
      </c>
      <c r="AA400" s="90">
        <f t="shared" si="99"/>
        <v>0</v>
      </c>
      <c r="AB400" s="90">
        <f t="shared" si="99"/>
        <v>0</v>
      </c>
      <c r="AC400" s="90">
        <f t="shared" si="99"/>
        <v>0</v>
      </c>
      <c r="AE400" s="71">
        <f t="shared" si="102"/>
        <v>0</v>
      </c>
      <c r="AF400" s="71">
        <f t="shared" si="102"/>
        <v>0</v>
      </c>
      <c r="AG400" s="71">
        <f t="shared" si="102"/>
        <v>0</v>
      </c>
      <c r="AH400" s="71">
        <f t="shared" si="100"/>
        <v>0</v>
      </c>
      <c r="AI400" s="71">
        <f t="shared" si="100"/>
        <v>0</v>
      </c>
      <c r="AJ400" s="71">
        <f t="shared" si="100"/>
        <v>0</v>
      </c>
    </row>
    <row r="401" spans="1:36">
      <c r="B401" s="597"/>
      <c r="C401" s="597"/>
      <c r="D401" s="597"/>
      <c r="E401" s="597"/>
      <c r="F401" s="597"/>
      <c r="G401" s="597"/>
      <c r="I401" s="597"/>
      <c r="J401" s="597"/>
      <c r="K401" s="597"/>
      <c r="L401" s="597"/>
      <c r="M401" s="597"/>
      <c r="N401" s="597"/>
      <c r="O401" s="598"/>
      <c r="P401" s="90">
        <v>50</v>
      </c>
      <c r="Q401" s="71">
        <v>0</v>
      </c>
      <c r="R401" s="71">
        <v>0</v>
      </c>
      <c r="S401" s="71">
        <v>0</v>
      </c>
      <c r="T401" s="71">
        <v>0</v>
      </c>
      <c r="U401" s="71">
        <v>0</v>
      </c>
      <c r="V401" s="71">
        <v>0</v>
      </c>
      <c r="X401" s="90">
        <f t="shared" si="101"/>
        <v>0</v>
      </c>
      <c r="Y401" s="90">
        <f t="shared" si="101"/>
        <v>0</v>
      </c>
      <c r="Z401" s="90">
        <f t="shared" si="101"/>
        <v>0</v>
      </c>
      <c r="AA401" s="90">
        <f t="shared" si="99"/>
        <v>0</v>
      </c>
      <c r="AB401" s="90">
        <f t="shared" si="99"/>
        <v>0</v>
      </c>
      <c r="AC401" s="90">
        <f t="shared" si="99"/>
        <v>0</v>
      </c>
      <c r="AE401" s="71">
        <f t="shared" si="102"/>
        <v>0</v>
      </c>
      <c r="AF401" s="71">
        <f t="shared" si="102"/>
        <v>0</v>
      </c>
      <c r="AG401" s="71">
        <f t="shared" si="102"/>
        <v>0</v>
      </c>
      <c r="AH401" s="71">
        <f t="shared" si="100"/>
        <v>0</v>
      </c>
      <c r="AI401" s="71">
        <f t="shared" si="100"/>
        <v>0</v>
      </c>
      <c r="AJ401" s="71">
        <f t="shared" si="100"/>
        <v>0</v>
      </c>
    </row>
    <row r="402" spans="1:36">
      <c r="B402" s="597"/>
      <c r="C402" s="597"/>
      <c r="D402" s="597"/>
      <c r="E402" s="597"/>
      <c r="F402" s="597"/>
      <c r="G402" s="597"/>
      <c r="I402" s="597"/>
      <c r="J402" s="597"/>
      <c r="K402" s="597"/>
      <c r="L402" s="597"/>
      <c r="M402" s="597"/>
      <c r="N402" s="597"/>
      <c r="O402" s="598"/>
      <c r="P402" s="90">
        <v>50</v>
      </c>
      <c r="Q402" s="71">
        <v>0</v>
      </c>
      <c r="R402" s="71">
        <v>0</v>
      </c>
      <c r="S402" s="71">
        <v>0</v>
      </c>
      <c r="T402" s="71">
        <v>0</v>
      </c>
      <c r="U402" s="71">
        <v>0</v>
      </c>
      <c r="V402" s="71">
        <v>0</v>
      </c>
      <c r="X402" s="90">
        <f t="shared" si="101"/>
        <v>0</v>
      </c>
      <c r="Y402" s="90">
        <f t="shared" si="101"/>
        <v>0</v>
      </c>
      <c r="Z402" s="90">
        <f t="shared" si="101"/>
        <v>0</v>
      </c>
      <c r="AA402" s="90">
        <f t="shared" si="99"/>
        <v>0</v>
      </c>
      <c r="AB402" s="90">
        <f t="shared" si="99"/>
        <v>0</v>
      </c>
      <c r="AC402" s="90">
        <f t="shared" si="99"/>
        <v>0</v>
      </c>
      <c r="AE402" s="71">
        <f t="shared" si="102"/>
        <v>0</v>
      </c>
      <c r="AF402" s="71">
        <f t="shared" si="102"/>
        <v>0</v>
      </c>
      <c r="AG402" s="71">
        <f t="shared" si="102"/>
        <v>0</v>
      </c>
      <c r="AH402" s="71">
        <f t="shared" si="100"/>
        <v>0</v>
      </c>
      <c r="AI402" s="71">
        <f t="shared" si="100"/>
        <v>0</v>
      </c>
      <c r="AJ402" s="71">
        <f t="shared" si="100"/>
        <v>0</v>
      </c>
    </row>
    <row r="403" spans="1:36">
      <c r="B403" s="597"/>
      <c r="C403" s="597"/>
      <c r="D403" s="597"/>
      <c r="E403" s="597"/>
      <c r="F403" s="597"/>
      <c r="G403" s="597"/>
      <c r="I403" s="597"/>
      <c r="J403" s="597"/>
      <c r="K403" s="597"/>
      <c r="L403" s="597"/>
      <c r="M403" s="597"/>
      <c r="N403" s="597"/>
      <c r="O403" s="598"/>
      <c r="P403" s="90">
        <v>50</v>
      </c>
      <c r="Q403" s="71">
        <v>0</v>
      </c>
      <c r="R403" s="71">
        <v>0</v>
      </c>
      <c r="S403" s="71">
        <v>0</v>
      </c>
      <c r="T403" s="71">
        <v>0</v>
      </c>
      <c r="U403" s="71">
        <v>0</v>
      </c>
      <c r="V403" s="71">
        <v>0</v>
      </c>
      <c r="X403" s="90">
        <f t="shared" si="101"/>
        <v>0</v>
      </c>
      <c r="Y403" s="90">
        <f t="shared" si="101"/>
        <v>0</v>
      </c>
      <c r="Z403" s="90">
        <f t="shared" si="101"/>
        <v>0</v>
      </c>
      <c r="AA403" s="90">
        <f t="shared" si="99"/>
        <v>0</v>
      </c>
      <c r="AB403" s="90">
        <f t="shared" si="99"/>
        <v>0</v>
      </c>
      <c r="AC403" s="90">
        <f t="shared" si="99"/>
        <v>0</v>
      </c>
      <c r="AE403" s="71">
        <f t="shared" si="102"/>
        <v>0</v>
      </c>
      <c r="AF403" s="71">
        <f t="shared" si="102"/>
        <v>0</v>
      </c>
      <c r="AG403" s="71">
        <f t="shared" si="102"/>
        <v>0</v>
      </c>
      <c r="AH403" s="71">
        <f t="shared" si="100"/>
        <v>0</v>
      </c>
      <c r="AI403" s="71">
        <f t="shared" si="100"/>
        <v>0</v>
      </c>
      <c r="AJ403" s="71">
        <f t="shared" si="100"/>
        <v>0</v>
      </c>
    </row>
    <row r="404" spans="1:36">
      <c r="B404" s="597"/>
      <c r="C404" s="597"/>
      <c r="D404" s="597"/>
      <c r="E404" s="597"/>
      <c r="F404" s="597"/>
      <c r="G404" s="597"/>
      <c r="I404" s="597"/>
      <c r="J404" s="597"/>
      <c r="K404" s="597"/>
      <c r="L404" s="597"/>
      <c r="M404" s="597"/>
      <c r="N404" s="597"/>
      <c r="O404" s="598"/>
      <c r="P404" s="90">
        <v>50</v>
      </c>
      <c r="Q404" s="71">
        <v>0</v>
      </c>
      <c r="R404" s="71">
        <v>0</v>
      </c>
      <c r="S404" s="71">
        <v>0</v>
      </c>
      <c r="T404" s="71">
        <v>0</v>
      </c>
      <c r="U404" s="71">
        <v>0</v>
      </c>
      <c r="V404" s="71">
        <v>0</v>
      </c>
      <c r="X404" s="90">
        <f t="shared" si="101"/>
        <v>0</v>
      </c>
      <c r="Y404" s="90">
        <f t="shared" si="101"/>
        <v>0</v>
      </c>
      <c r="Z404" s="90">
        <f t="shared" si="101"/>
        <v>0</v>
      </c>
      <c r="AA404" s="90">
        <f t="shared" si="99"/>
        <v>0</v>
      </c>
      <c r="AB404" s="90">
        <f t="shared" si="99"/>
        <v>0</v>
      </c>
      <c r="AC404" s="90">
        <f t="shared" si="99"/>
        <v>0</v>
      </c>
      <c r="AE404" s="71">
        <f t="shared" si="102"/>
        <v>0</v>
      </c>
      <c r="AF404" s="71">
        <f t="shared" si="102"/>
        <v>0</v>
      </c>
      <c r="AG404" s="71">
        <f t="shared" si="102"/>
        <v>0</v>
      </c>
      <c r="AH404" s="71">
        <f t="shared" si="100"/>
        <v>0</v>
      </c>
      <c r="AI404" s="71">
        <f t="shared" si="100"/>
        <v>0</v>
      </c>
      <c r="AJ404" s="71">
        <f t="shared" si="100"/>
        <v>0</v>
      </c>
    </row>
    <row r="405" spans="1:36" s="599" customFormat="1">
      <c r="A405" s="90">
        <f>Treatment_Guidelines!B408</f>
        <v>0</v>
      </c>
      <c r="B405" s="600">
        <v>0</v>
      </c>
      <c r="C405" s="600">
        <v>0</v>
      </c>
      <c r="D405" s="600">
        <v>0</v>
      </c>
      <c r="E405" s="600">
        <v>0</v>
      </c>
      <c r="F405" s="600">
        <v>0</v>
      </c>
      <c r="G405" s="600">
        <v>0</v>
      </c>
      <c r="I405" s="600"/>
      <c r="J405" s="600"/>
      <c r="K405" s="600"/>
      <c r="L405" s="600"/>
      <c r="M405" s="600"/>
      <c r="N405" s="600"/>
      <c r="O405" s="601"/>
      <c r="P405" s="599">
        <v>50</v>
      </c>
      <c r="Q405" s="602">
        <v>0</v>
      </c>
      <c r="R405" s="602">
        <v>0</v>
      </c>
      <c r="S405" s="602">
        <v>0</v>
      </c>
      <c r="T405" s="602">
        <v>0</v>
      </c>
      <c r="U405" s="602">
        <v>0</v>
      </c>
      <c r="V405" s="602">
        <v>0</v>
      </c>
      <c r="X405" s="599">
        <f t="shared" si="101"/>
        <v>0</v>
      </c>
      <c r="Y405" s="599">
        <f t="shared" si="101"/>
        <v>0</v>
      </c>
      <c r="Z405" s="599">
        <f t="shared" si="101"/>
        <v>0</v>
      </c>
      <c r="AA405" s="599">
        <f t="shared" si="99"/>
        <v>0</v>
      </c>
      <c r="AB405" s="599">
        <f t="shared" si="99"/>
        <v>0</v>
      </c>
      <c r="AC405" s="599">
        <f t="shared" si="99"/>
        <v>0</v>
      </c>
      <c r="AE405" s="602">
        <f t="shared" si="102"/>
        <v>0</v>
      </c>
      <c r="AF405" s="602">
        <f t="shared" si="102"/>
        <v>0</v>
      </c>
      <c r="AG405" s="602">
        <f t="shared" si="102"/>
        <v>0</v>
      </c>
      <c r="AH405" s="602">
        <f t="shared" si="100"/>
        <v>0</v>
      </c>
      <c r="AI405" s="602">
        <f t="shared" si="100"/>
        <v>0</v>
      </c>
      <c r="AJ405" s="602">
        <f t="shared" si="100"/>
        <v>0</v>
      </c>
    </row>
    <row r="406" spans="1:36">
      <c r="AE406" s="492"/>
      <c r="AF406" s="492"/>
      <c r="AG406" s="492"/>
      <c r="AH406" s="492"/>
      <c r="AI406" s="492"/>
      <c r="AJ406" s="492"/>
    </row>
    <row r="407" spans="1:36">
      <c r="AE407" s="492" t="e">
        <f t="shared" ref="AE407:AJ407" si="103">SUM(AE6:AE405)</f>
        <v>#N/A</v>
      </c>
      <c r="AF407" s="492" t="e">
        <f t="shared" si="103"/>
        <v>#N/A</v>
      </c>
      <c r="AG407" s="492" t="e">
        <f t="shared" si="103"/>
        <v>#N/A</v>
      </c>
      <c r="AH407" s="492" t="e">
        <f t="shared" si="103"/>
        <v>#N/A</v>
      </c>
      <c r="AI407" s="492" t="e">
        <f t="shared" si="103"/>
        <v>#N/A</v>
      </c>
      <c r="AJ407" s="492" t="e">
        <f t="shared" si="103"/>
        <v>#N/A</v>
      </c>
    </row>
    <row r="408" spans="1:36">
      <c r="AE408" s="492"/>
      <c r="AF408" s="492"/>
      <c r="AG408" s="492"/>
      <c r="AH408" s="492"/>
      <c r="AI408" s="492"/>
      <c r="AJ408" s="492"/>
    </row>
  </sheetData>
  <mergeCells count="5">
    <mergeCell ref="B3:G3"/>
    <mergeCell ref="I3:N3"/>
    <mergeCell ref="Q3:V3"/>
    <mergeCell ref="X3:AC3"/>
    <mergeCell ref="AE3:AJ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2060"/>
  </sheetPr>
  <dimension ref="A1:AE82"/>
  <sheetViews>
    <sheetView zoomScale="80" zoomScaleNormal="80" workbookViewId="0">
      <pane ySplit="6" topLeftCell="A25" activePane="bottomLeft" state="frozen"/>
      <selection activeCell="E12" sqref="E12"/>
      <selection pane="bottomLeft" activeCell="E12" sqref="E12"/>
    </sheetView>
  </sheetViews>
  <sheetFormatPr baseColWidth="10" defaultColWidth="8.88671875" defaultRowHeight="14.4"/>
  <cols>
    <col min="1" max="1" width="32.33203125" customWidth="1"/>
    <col min="2" max="2" width="16.33203125" bestFit="1" customWidth="1"/>
    <col min="3" max="7" width="16.77734375" bestFit="1" customWidth="1"/>
    <col min="8" max="8" width="8.33203125" customWidth="1"/>
    <col min="9" max="9" width="29.109375" bestFit="1" customWidth="1"/>
    <col min="10" max="13" width="15.6640625" customWidth="1"/>
    <col min="14" max="15" width="16.77734375" bestFit="1" customWidth="1"/>
    <col min="17" max="17" width="26.77734375" customWidth="1"/>
    <col min="18" max="23" width="15.6640625" customWidth="1"/>
    <col min="25" max="25" width="14.109375" customWidth="1"/>
    <col min="26" max="31" width="15.6640625" customWidth="1"/>
  </cols>
  <sheetData>
    <row r="1" spans="1:31" s="318" customFormat="1" ht="24" customHeight="1">
      <c r="A1" s="314" t="str">
        <f>"DETAILED PROGRAM COSTS BY INPUT ("&amp;currency_enter&amp;")"</f>
        <v>DETAILED PROGRAM COSTS BY INPUT ()</v>
      </c>
      <c r="K1" s="332"/>
      <c r="L1" s="333"/>
      <c r="M1" s="333"/>
    </row>
    <row r="2" spans="1:31" s="215" customFormat="1" ht="18">
      <c r="A2" s="50" t="s">
        <v>598</v>
      </c>
      <c r="K2" s="216"/>
      <c r="L2" s="217"/>
      <c r="M2" s="217"/>
    </row>
    <row r="5" spans="1:31">
      <c r="B5" s="435">
        <v>2</v>
      </c>
      <c r="C5" s="435">
        <v>3</v>
      </c>
      <c r="D5" s="435">
        <v>4</v>
      </c>
      <c r="E5" s="435">
        <v>5</v>
      </c>
      <c r="F5" s="435">
        <v>6</v>
      </c>
      <c r="G5" s="435">
        <v>7</v>
      </c>
      <c r="H5" s="435"/>
    </row>
    <row r="6" spans="1:31" ht="13.05" customHeight="1">
      <c r="B6" s="18">
        <f>baseline_year</f>
        <v>0</v>
      </c>
      <c r="C6" s="335">
        <f>baseline_year+1</f>
        <v>1</v>
      </c>
      <c r="D6" s="335">
        <f>C6+1</f>
        <v>2</v>
      </c>
      <c r="E6" s="335">
        <f>D6+1</f>
        <v>3</v>
      </c>
      <c r="F6" s="335">
        <f>E6+1</f>
        <v>4</v>
      </c>
      <c r="G6" s="336">
        <f>F6+1</f>
        <v>5</v>
      </c>
      <c r="H6" s="245"/>
      <c r="J6" s="18">
        <f>baseline_year</f>
        <v>0</v>
      </c>
      <c r="K6" s="335">
        <f>baseline_year+1</f>
        <v>1</v>
      </c>
      <c r="L6" s="335">
        <f>K6+1</f>
        <v>2</v>
      </c>
      <c r="M6" s="335">
        <f>L6+1</f>
        <v>3</v>
      </c>
      <c r="N6" s="335">
        <f>M6+1</f>
        <v>4</v>
      </c>
      <c r="O6" s="336">
        <f>N6+1</f>
        <v>5</v>
      </c>
      <c r="R6" s="18">
        <f>baseline_year</f>
        <v>0</v>
      </c>
      <c r="S6" s="335">
        <f>baseline_year+1</f>
        <v>1</v>
      </c>
      <c r="T6" s="335">
        <f>S6+1</f>
        <v>2</v>
      </c>
      <c r="U6" s="335">
        <f>T6+1</f>
        <v>3</v>
      </c>
      <c r="V6" s="335">
        <f>U6+1</f>
        <v>4</v>
      </c>
      <c r="W6" s="336">
        <f>V6+1</f>
        <v>5</v>
      </c>
      <c r="Z6" s="18">
        <f>baseline_year</f>
        <v>0</v>
      </c>
      <c r="AA6" s="335">
        <f>baseline_year+1</f>
        <v>1</v>
      </c>
      <c r="AB6" s="335">
        <f>AA6+1</f>
        <v>2</v>
      </c>
      <c r="AC6" s="335">
        <f>AB6+1</f>
        <v>3</v>
      </c>
      <c r="AD6" s="335">
        <f>AC6+1</f>
        <v>4</v>
      </c>
      <c r="AE6" s="336">
        <f>AD6+1</f>
        <v>5</v>
      </c>
    </row>
    <row r="8" spans="1:31">
      <c r="A8" s="4" t="s">
        <v>1344</v>
      </c>
      <c r="I8" s="4" t="s">
        <v>1346</v>
      </c>
      <c r="Q8" s="4" t="s">
        <v>1347</v>
      </c>
      <c r="Y8" s="4" t="s">
        <v>1386</v>
      </c>
    </row>
    <row r="9" spans="1:31">
      <c r="A9" s="6" t="str">
        <f>Lists!H2</f>
        <v xml:space="preserve">Staff costs </v>
      </c>
      <c r="B9" s="707" t="e">
        <f>+B34</f>
        <v>#N/A</v>
      </c>
      <c r="C9" s="707" t="e">
        <f t="shared" ref="C9:G9" si="0">+C34</f>
        <v>#N/A</v>
      </c>
      <c r="D9" s="707" t="e">
        <f t="shared" si="0"/>
        <v>#N/A</v>
      </c>
      <c r="E9" s="707" t="e">
        <f t="shared" si="0"/>
        <v>#N/A</v>
      </c>
      <c r="F9" s="707" t="e">
        <f t="shared" si="0"/>
        <v>#N/A</v>
      </c>
      <c r="G9" s="708" t="e">
        <f t="shared" si="0"/>
        <v>#N/A</v>
      </c>
      <c r="I9" s="6" t="str">
        <f>A9</f>
        <v xml:space="preserve">Staff costs </v>
      </c>
      <c r="J9" s="707">
        <f>SUMIF(Financing!$D$9:$D$23,Cost_by_Input!$I9,Financing!$N$9:$N$23)</f>
        <v>0</v>
      </c>
      <c r="K9" s="707">
        <f>SUMIF(Financing!$D$9:$D$23,Cost_by_Input!$I9,Financing!$O$9:$O$23)</f>
        <v>0</v>
      </c>
      <c r="L9" s="707">
        <f>SUMIF(Financing!$D$9:$D$23,Cost_by_Input!$I9,Financing!$P$9:$P$23)</f>
        <v>0</v>
      </c>
      <c r="M9" s="707">
        <f>SUMIF(Financing!$D$9:$D$23,Cost_by_Input!$I9,Financing!$Q$9:$Q$23)</f>
        <v>0</v>
      </c>
      <c r="N9" s="707">
        <f>SUMIF(Financing!$D$9:$D$23,Cost_by_Input!$I9,Financing!$R$9:$R$23)</f>
        <v>0</v>
      </c>
      <c r="O9" s="708">
        <f>SUMIF(Financing!$D$9:$D$23,Cost_by_Input!$I9,Financing!$S$9:$S$23)</f>
        <v>0</v>
      </c>
      <c r="Q9" s="6" t="str">
        <f>A9</f>
        <v xml:space="preserve">Staff costs </v>
      </c>
      <c r="R9" s="707" t="e">
        <f>J9-B9</f>
        <v>#N/A</v>
      </c>
      <c r="S9" s="707" t="e">
        <f t="shared" ref="S9:W9" si="1">K9-C9</f>
        <v>#N/A</v>
      </c>
      <c r="T9" s="707" t="e">
        <f t="shared" si="1"/>
        <v>#N/A</v>
      </c>
      <c r="U9" s="707" t="e">
        <f t="shared" si="1"/>
        <v>#N/A</v>
      </c>
      <c r="V9" s="707" t="e">
        <f t="shared" si="1"/>
        <v>#N/A</v>
      </c>
      <c r="W9" s="708" t="e">
        <f t="shared" si="1"/>
        <v>#N/A</v>
      </c>
      <c r="Y9" s="566">
        <f>Parameters!C44</f>
        <v>0</v>
      </c>
      <c r="Z9" s="516">
        <f>SUMIF(Financing!$B$9:$B$23,$Y9,Financing!N$9:N$23)</f>
        <v>0</v>
      </c>
      <c r="AA9" s="516">
        <f>SUMIF(Financing!$B$9:$B$23,$Y9,Financing!O$9:O$23)</f>
        <v>0</v>
      </c>
      <c r="AB9" s="516">
        <f>SUMIF(Financing!$B$9:$B$23,$Y9,Financing!P$9:P$23)</f>
        <v>0</v>
      </c>
      <c r="AC9" s="516">
        <f>SUMIF(Financing!$B$9:$B$23,$Y9,Financing!Q$9:Q$23)</f>
        <v>0</v>
      </c>
      <c r="AD9" s="516">
        <f>SUMIF(Financing!$B$9:$B$23,$Y9,Financing!R$9:R$23)</f>
        <v>0</v>
      </c>
      <c r="AE9" s="516">
        <f>SUMIF(Financing!$B$9:$B$23,$Y9,Financing!S$9:S$23)</f>
        <v>0</v>
      </c>
    </row>
    <row r="10" spans="1:31">
      <c r="A10" s="8" t="str">
        <f>Lists!H3</f>
        <v xml:space="preserve">Assistive Products and Supplies </v>
      </c>
      <c r="B10" s="635" t="e">
        <f>B42</f>
        <v>#N/A</v>
      </c>
      <c r="C10" s="635" t="e">
        <f t="shared" ref="C10:G10" si="2">C42</f>
        <v>#N/A</v>
      </c>
      <c r="D10" s="635" t="e">
        <f t="shared" si="2"/>
        <v>#N/A</v>
      </c>
      <c r="E10" s="635" t="e">
        <f t="shared" si="2"/>
        <v>#N/A</v>
      </c>
      <c r="F10" s="635" t="e">
        <f t="shared" si="2"/>
        <v>#N/A</v>
      </c>
      <c r="G10" s="638" t="e">
        <f t="shared" si="2"/>
        <v>#N/A</v>
      </c>
      <c r="I10" s="8" t="str">
        <f t="shared" ref="I10:I20" si="3">A10</f>
        <v xml:space="preserve">Assistive Products and Supplies </v>
      </c>
      <c r="J10" s="635">
        <f>SUMIF(Financing!$D$9:$D$23,Cost_by_Input!$I10,Financing!$N$9:$N$23)</f>
        <v>0</v>
      </c>
      <c r="K10" s="635">
        <f>SUMIF(Financing!$D$9:$D$23,Cost_by_Input!$I10,Financing!$O$9:$O$23)</f>
        <v>0</v>
      </c>
      <c r="L10" s="635">
        <f>SUMIF(Financing!$D$9:$D$23,Cost_by_Input!$I10,Financing!$P$9:$P$23)</f>
        <v>0</v>
      </c>
      <c r="M10" s="635">
        <f>SUMIF(Financing!$D$9:$D$23,Cost_by_Input!$I10,Financing!$Q$9:$Q$23)</f>
        <v>0</v>
      </c>
      <c r="N10" s="635">
        <f>SUMIF(Financing!$D$9:$D$23,Cost_by_Input!$I10,Financing!$R$9:$R$23)</f>
        <v>0</v>
      </c>
      <c r="O10" s="638">
        <f>SUMIF(Financing!$D$9:$D$23,Cost_by_Input!$I10,Financing!$S$9:$S$23)</f>
        <v>0</v>
      </c>
      <c r="Q10" s="8" t="str">
        <f t="shared" ref="Q10:Q20" si="4">A10</f>
        <v xml:space="preserve">Assistive Products and Supplies </v>
      </c>
      <c r="R10" s="635" t="e">
        <f>J10-B10</f>
        <v>#N/A</v>
      </c>
      <c r="S10" s="635" t="e">
        <f t="shared" ref="S10" si="5">K10-C10</f>
        <v>#N/A</v>
      </c>
      <c r="T10" s="635" t="e">
        <f t="shared" ref="T10" si="6">L10-D10</f>
        <v>#N/A</v>
      </c>
      <c r="U10" s="635" t="e">
        <f t="shared" ref="U10" si="7">M10-E10</f>
        <v>#N/A</v>
      </c>
      <c r="V10" s="635" t="e">
        <f t="shared" ref="V10" si="8">N10-F10</f>
        <v>#N/A</v>
      </c>
      <c r="W10" s="638" t="e">
        <f t="shared" ref="W10" si="9">O10-G10</f>
        <v>#N/A</v>
      </c>
      <c r="Y10" s="566">
        <f>Parameters!C45</f>
        <v>0</v>
      </c>
      <c r="Z10" s="516">
        <f>SUMIF(Financing!$B$9:$B$23,$Y10,Financing!N$9:N$23)</f>
        <v>0</v>
      </c>
      <c r="AA10" s="516">
        <f>SUMIF(Financing!$B$9:$B$23,$Y10,Financing!O$9:O$23)</f>
        <v>0</v>
      </c>
      <c r="AB10" s="516">
        <f>SUMIF(Financing!$B$9:$B$23,$Y10,Financing!P$9:P$23)</f>
        <v>0</v>
      </c>
      <c r="AC10" s="516">
        <f>SUMIF(Financing!$B$9:$B$23,$Y10,Financing!Q$9:Q$23)</f>
        <v>0</v>
      </c>
      <c r="AD10" s="516">
        <f>SUMIF(Financing!$B$9:$B$23,$Y10,Financing!R$9:R$23)</f>
        <v>0</v>
      </c>
      <c r="AE10" s="516">
        <f>SUMIF(Financing!$B$9:$B$23,$Y10,Financing!S$9:S$23)</f>
        <v>0</v>
      </c>
    </row>
    <row r="11" spans="1:31">
      <c r="A11" s="8" t="str">
        <f>Lists!H4</f>
        <v xml:space="preserve">Training Costs </v>
      </c>
      <c r="B11" s="635">
        <f>B55</f>
        <v>0</v>
      </c>
      <c r="C11" s="635">
        <f t="shared" ref="C11:G11" si="10">C55</f>
        <v>0</v>
      </c>
      <c r="D11" s="635">
        <f t="shared" si="10"/>
        <v>0</v>
      </c>
      <c r="E11" s="635">
        <f t="shared" si="10"/>
        <v>0</v>
      </c>
      <c r="F11" s="635">
        <f t="shared" si="10"/>
        <v>0</v>
      </c>
      <c r="G11" s="638">
        <f t="shared" si="10"/>
        <v>0</v>
      </c>
      <c r="I11" s="8" t="str">
        <f t="shared" si="3"/>
        <v xml:space="preserve">Training Costs </v>
      </c>
      <c r="J11" s="635">
        <f>SUMIF(Financing!$D$9:$D$23,Cost_by_Input!$I11,Financing!$N$9:$N$23)</f>
        <v>0</v>
      </c>
      <c r="K11" s="635">
        <f>SUMIF(Financing!$D$9:$D$23,Cost_by_Input!$I11,Financing!$O$9:$O$23)</f>
        <v>0</v>
      </c>
      <c r="L11" s="635">
        <f>SUMIF(Financing!$D$9:$D$23,Cost_by_Input!$I11,Financing!$P$9:$P$23)</f>
        <v>0</v>
      </c>
      <c r="M11" s="635">
        <f>SUMIF(Financing!$D$9:$D$23,Cost_by_Input!$I11,Financing!$Q$9:$Q$23)</f>
        <v>0</v>
      </c>
      <c r="N11" s="635">
        <f>SUMIF(Financing!$D$9:$D$23,Cost_by_Input!$I11,Financing!$R$9:$R$23)</f>
        <v>0</v>
      </c>
      <c r="O11" s="638">
        <f>SUMIF(Financing!$D$9:$D$23,Cost_by_Input!$I11,Financing!$S$9:$S$23)</f>
        <v>0</v>
      </c>
      <c r="Q11" s="8" t="str">
        <f t="shared" si="4"/>
        <v xml:space="preserve">Training Costs </v>
      </c>
      <c r="R11" s="635">
        <f t="shared" ref="R11:R20" si="11">J11-B11</f>
        <v>0</v>
      </c>
      <c r="S11" s="635">
        <f t="shared" ref="S11:S20" si="12">K11-C11</f>
        <v>0</v>
      </c>
      <c r="T11" s="635">
        <f t="shared" ref="T11:T20" si="13">L11-D11</f>
        <v>0</v>
      </c>
      <c r="U11" s="635">
        <f t="shared" ref="U11:U20" si="14">M11-E11</f>
        <v>0</v>
      </c>
      <c r="V11" s="635">
        <f t="shared" ref="V11:V20" si="15">N11-F11</f>
        <v>0</v>
      </c>
      <c r="W11" s="638">
        <f t="shared" ref="W11:W20" si="16">O11-G11</f>
        <v>0</v>
      </c>
      <c r="Y11" s="566">
        <f>Parameters!C46</f>
        <v>0</v>
      </c>
      <c r="Z11" s="516">
        <f>SUMIF(Financing!$B$9:$B$23,$Y11,Financing!N$9:N$23)</f>
        <v>0</v>
      </c>
      <c r="AA11" s="516">
        <f>SUMIF(Financing!$B$9:$B$23,$Y11,Financing!O$9:O$23)</f>
        <v>0</v>
      </c>
      <c r="AB11" s="516">
        <f>SUMIF(Financing!$B$9:$B$23,$Y11,Financing!P$9:P$23)</f>
        <v>0</v>
      </c>
      <c r="AC11" s="516">
        <f>SUMIF(Financing!$B$9:$B$23,$Y11,Financing!Q$9:Q$23)</f>
        <v>0</v>
      </c>
      <c r="AD11" s="516">
        <f>SUMIF(Financing!$B$9:$B$23,$Y11,Financing!R$9:R$23)</f>
        <v>0</v>
      </c>
      <c r="AE11" s="516">
        <f>SUMIF(Financing!$B$9:$B$23,$Y11,Financing!S$9:S$23)</f>
        <v>0</v>
      </c>
    </row>
    <row r="12" spans="1:31">
      <c r="A12" s="8" t="str">
        <f>Lists!H5</f>
        <v>Equipment</v>
      </c>
      <c r="B12" s="635">
        <f>B64</f>
        <v>0</v>
      </c>
      <c r="C12" s="635">
        <f t="shared" ref="C12:G12" si="17">C64</f>
        <v>0</v>
      </c>
      <c r="D12" s="635">
        <f t="shared" si="17"/>
        <v>0</v>
      </c>
      <c r="E12" s="635">
        <f t="shared" si="17"/>
        <v>0</v>
      </c>
      <c r="F12" s="635">
        <f t="shared" si="17"/>
        <v>0</v>
      </c>
      <c r="G12" s="638">
        <f t="shared" si="17"/>
        <v>0</v>
      </c>
      <c r="I12" s="8" t="str">
        <f t="shared" si="3"/>
        <v>Equipment</v>
      </c>
      <c r="J12" s="635">
        <f>SUMIF(Financing!$D$9:$D$23,Cost_by_Input!$I12,Financing!$N$9:$N$23)</f>
        <v>0</v>
      </c>
      <c r="K12" s="635">
        <f>SUMIF(Financing!$D$9:$D$23,Cost_by_Input!$I12,Financing!$O$9:$O$23)</f>
        <v>0</v>
      </c>
      <c r="L12" s="635">
        <f>SUMIF(Financing!$D$9:$D$23,Cost_by_Input!$I12,Financing!$P$9:$P$23)</f>
        <v>0</v>
      </c>
      <c r="M12" s="635">
        <f>SUMIF(Financing!$D$9:$D$23,Cost_by_Input!$I12,Financing!$Q$9:$Q$23)</f>
        <v>0</v>
      </c>
      <c r="N12" s="635">
        <f>SUMIF(Financing!$D$9:$D$23,Cost_by_Input!$I12,Financing!$R$9:$R$23)</f>
        <v>0</v>
      </c>
      <c r="O12" s="638">
        <f>SUMIF(Financing!$D$9:$D$23,Cost_by_Input!$I12,Financing!$S$9:$S$23)</f>
        <v>0</v>
      </c>
      <c r="Q12" s="8" t="str">
        <f t="shared" si="4"/>
        <v>Equipment</v>
      </c>
      <c r="R12" s="635">
        <f t="shared" ref="R12" si="18">J12-B12</f>
        <v>0</v>
      </c>
      <c r="S12" s="635">
        <f t="shared" ref="S12" si="19">K12-C12</f>
        <v>0</v>
      </c>
      <c r="T12" s="635">
        <f t="shared" ref="T12" si="20">L12-D12</f>
        <v>0</v>
      </c>
      <c r="U12" s="635">
        <f t="shared" ref="U12" si="21">M12-E12</f>
        <v>0</v>
      </c>
      <c r="V12" s="635">
        <f t="shared" ref="V12" si="22">N12-F12</f>
        <v>0</v>
      </c>
      <c r="W12" s="638">
        <f t="shared" ref="W12" si="23">O12-G12</f>
        <v>0</v>
      </c>
      <c r="Y12" s="566">
        <f>Parameters!C47</f>
        <v>0</v>
      </c>
      <c r="Z12" s="516">
        <f>SUMIF(Financing!$B$9:$B$23,$Y12,Financing!N$9:N$23)</f>
        <v>0</v>
      </c>
      <c r="AA12" s="516">
        <f>SUMIF(Financing!$B$9:$B$23,$Y12,Financing!O$9:O$23)</f>
        <v>0</v>
      </c>
      <c r="AB12" s="516">
        <f>SUMIF(Financing!$B$9:$B$23,$Y12,Financing!P$9:P$23)</f>
        <v>0</v>
      </c>
      <c r="AC12" s="516">
        <f>SUMIF(Financing!$B$9:$B$23,$Y12,Financing!Q$9:Q$23)</f>
        <v>0</v>
      </c>
      <c r="AD12" s="516">
        <f>SUMIF(Financing!$B$9:$B$23,$Y12,Financing!R$9:R$23)</f>
        <v>0</v>
      </c>
      <c r="AE12" s="516">
        <f>SUMIF(Financing!$B$9:$B$23,$Y12,Financing!S$9:S$23)</f>
        <v>0</v>
      </c>
    </row>
    <row r="13" spans="1:31">
      <c r="A13" s="8" t="str">
        <f>Lists!H6</f>
        <v>Other Recurrent Costs</v>
      </c>
      <c r="B13" s="635">
        <f>B67</f>
        <v>0</v>
      </c>
      <c r="C13" s="635">
        <f t="shared" ref="C13:G13" si="24">C67</f>
        <v>0</v>
      </c>
      <c r="D13" s="635">
        <f t="shared" si="24"/>
        <v>0</v>
      </c>
      <c r="E13" s="635">
        <f t="shared" si="24"/>
        <v>0</v>
      </c>
      <c r="F13" s="635">
        <f t="shared" si="24"/>
        <v>0</v>
      </c>
      <c r="G13" s="638">
        <f t="shared" si="24"/>
        <v>0</v>
      </c>
      <c r="I13" s="8" t="str">
        <f t="shared" si="3"/>
        <v>Other Recurrent Costs</v>
      </c>
      <c r="J13" s="635">
        <f>SUMIF(Financing!$D$9:$D$23,Cost_by_Input!$I13,Financing!$N$9:$N$23)</f>
        <v>0</v>
      </c>
      <c r="K13" s="635">
        <f>SUMIF(Financing!$D$9:$D$23,Cost_by_Input!$I13,Financing!$O$9:$O$23)</f>
        <v>0</v>
      </c>
      <c r="L13" s="635">
        <f>SUMIF(Financing!$D$9:$D$23,Cost_by_Input!$I13,Financing!$P$9:$P$23)</f>
        <v>0</v>
      </c>
      <c r="M13" s="635">
        <f>SUMIF(Financing!$D$9:$D$23,Cost_by_Input!$I13,Financing!$Q$9:$Q$23)</f>
        <v>0</v>
      </c>
      <c r="N13" s="635">
        <f>SUMIF(Financing!$D$9:$D$23,Cost_by_Input!$I13,Financing!$R$9:$R$23)</f>
        <v>0</v>
      </c>
      <c r="O13" s="638">
        <f>SUMIF(Financing!$D$9:$D$23,Cost_by_Input!$I13,Financing!$S$9:$S$23)</f>
        <v>0</v>
      </c>
      <c r="Q13" s="8" t="str">
        <f t="shared" si="4"/>
        <v>Other Recurrent Costs</v>
      </c>
      <c r="R13" s="635">
        <f t="shared" si="11"/>
        <v>0</v>
      </c>
      <c r="S13" s="635">
        <f t="shared" si="12"/>
        <v>0</v>
      </c>
      <c r="T13" s="635">
        <f t="shared" si="13"/>
        <v>0</v>
      </c>
      <c r="U13" s="635">
        <f t="shared" si="14"/>
        <v>0</v>
      </c>
      <c r="V13" s="635">
        <f t="shared" si="15"/>
        <v>0</v>
      </c>
      <c r="W13" s="638">
        <f t="shared" si="16"/>
        <v>0</v>
      </c>
      <c r="Y13" s="566">
        <f>Parameters!C48</f>
        <v>0</v>
      </c>
      <c r="Z13" s="516">
        <f>SUMIF(Financing!$B$9:$B$23,$Y13,Financing!N$9:N$23)</f>
        <v>0</v>
      </c>
      <c r="AA13" s="516">
        <f>SUMIF(Financing!$B$9:$B$23,$Y13,Financing!O$9:O$23)</f>
        <v>0</v>
      </c>
      <c r="AB13" s="516">
        <f>SUMIF(Financing!$B$9:$B$23,$Y13,Financing!P$9:P$23)</f>
        <v>0</v>
      </c>
      <c r="AC13" s="516">
        <f>SUMIF(Financing!$B$9:$B$23,$Y13,Financing!Q$9:Q$23)</f>
        <v>0</v>
      </c>
      <c r="AD13" s="516">
        <f>SUMIF(Financing!$B$9:$B$23,$Y13,Financing!R$9:R$23)</f>
        <v>0</v>
      </c>
      <c r="AE13" s="516">
        <f>SUMIF(Financing!$B$9:$B$23,$Y13,Financing!S$9:S$23)</f>
        <v>0</v>
      </c>
    </row>
    <row r="14" spans="1:31">
      <c r="A14" s="8" t="str">
        <f>Lists!H7</f>
        <v>Start-up Costs</v>
      </c>
      <c r="B14" s="635">
        <f>B71</f>
        <v>0</v>
      </c>
      <c r="C14" s="635">
        <f t="shared" ref="C14:G14" si="25">C71</f>
        <v>0</v>
      </c>
      <c r="D14" s="635">
        <f t="shared" si="25"/>
        <v>0</v>
      </c>
      <c r="E14" s="635">
        <f t="shared" si="25"/>
        <v>0</v>
      </c>
      <c r="F14" s="635">
        <f t="shared" si="25"/>
        <v>0</v>
      </c>
      <c r="G14" s="638">
        <f t="shared" si="25"/>
        <v>0</v>
      </c>
      <c r="I14" s="8" t="str">
        <f t="shared" si="3"/>
        <v>Start-up Costs</v>
      </c>
      <c r="J14" s="635">
        <f>SUMIF(Financing!$D$9:$D$23,Cost_by_Input!$I14,Financing!$N$9:$N$23)</f>
        <v>0</v>
      </c>
      <c r="K14" s="635">
        <f>SUMIF(Financing!$D$9:$D$23,Cost_by_Input!$I14,Financing!$O$9:$O$23)</f>
        <v>0</v>
      </c>
      <c r="L14" s="635">
        <f>SUMIF(Financing!$D$9:$D$23,Cost_by_Input!$I14,Financing!$P$9:$P$23)</f>
        <v>0</v>
      </c>
      <c r="M14" s="635">
        <f>SUMIF(Financing!$D$9:$D$23,Cost_by_Input!$I14,Financing!$Q$9:$Q$23)</f>
        <v>0</v>
      </c>
      <c r="N14" s="635">
        <f>SUMIF(Financing!$D$9:$D$23,Cost_by_Input!$I14,Financing!$R$9:$R$23)</f>
        <v>0</v>
      </c>
      <c r="O14" s="638">
        <f>SUMIF(Financing!$D$9:$D$23,Cost_by_Input!$I14,Financing!$S$9:$S$23)</f>
        <v>0</v>
      </c>
      <c r="Q14" s="8" t="str">
        <f t="shared" si="4"/>
        <v>Start-up Costs</v>
      </c>
      <c r="R14" s="635">
        <f t="shared" si="11"/>
        <v>0</v>
      </c>
      <c r="S14" s="635">
        <f t="shared" si="12"/>
        <v>0</v>
      </c>
      <c r="T14" s="635">
        <f t="shared" si="13"/>
        <v>0</v>
      </c>
      <c r="U14" s="635">
        <f t="shared" si="14"/>
        <v>0</v>
      </c>
      <c r="V14" s="635">
        <f t="shared" si="15"/>
        <v>0</v>
      </c>
      <c r="W14" s="638">
        <f t="shared" si="16"/>
        <v>0</v>
      </c>
      <c r="Y14" s="566">
        <f>Parameters!C49</f>
        <v>0</v>
      </c>
      <c r="Z14" s="516">
        <f>SUMIF(Financing!$B$9:$B$23,$Y14,Financing!N$9:N$23)</f>
        <v>0</v>
      </c>
      <c r="AA14" s="516">
        <f>SUMIF(Financing!$B$9:$B$23,$Y14,Financing!O$9:O$23)</f>
        <v>0</v>
      </c>
      <c r="AB14" s="516">
        <f>SUMIF(Financing!$B$9:$B$23,$Y14,Financing!P$9:P$23)</f>
        <v>0</v>
      </c>
      <c r="AC14" s="516">
        <f>SUMIF(Financing!$B$9:$B$23,$Y14,Financing!Q$9:Q$23)</f>
        <v>0</v>
      </c>
      <c r="AD14" s="516">
        <f>SUMIF(Financing!$B$9:$B$23,$Y14,Financing!R$9:R$23)</f>
        <v>0</v>
      </c>
      <c r="AE14" s="516">
        <f>SUMIF(Financing!$B$9:$B$23,$Y14,Financing!S$9:S$23)</f>
        <v>0</v>
      </c>
    </row>
    <row r="15" spans="1:31">
      <c r="A15" s="8" t="str">
        <f>Lists!H8</f>
        <v>Capital Costs</v>
      </c>
      <c r="B15" s="635">
        <f>B72</f>
        <v>0</v>
      </c>
      <c r="C15" s="635">
        <f t="shared" ref="C15:G15" si="26">C72</f>
        <v>0</v>
      </c>
      <c r="D15" s="635">
        <f t="shared" si="26"/>
        <v>0</v>
      </c>
      <c r="E15" s="635">
        <f t="shared" si="26"/>
        <v>0</v>
      </c>
      <c r="F15" s="635">
        <f t="shared" si="26"/>
        <v>0</v>
      </c>
      <c r="G15" s="638">
        <f t="shared" si="26"/>
        <v>0</v>
      </c>
      <c r="I15" s="8" t="str">
        <f t="shared" si="3"/>
        <v>Capital Costs</v>
      </c>
      <c r="J15" s="635">
        <f>SUMIF(Financing!$D$9:$D$23,Cost_by_Input!$I15,Financing!$N$9:$N$23)</f>
        <v>0</v>
      </c>
      <c r="K15" s="635">
        <f>SUMIF(Financing!$D$9:$D$23,Cost_by_Input!$I15,Financing!$O$9:$O$23)</f>
        <v>0</v>
      </c>
      <c r="L15" s="635">
        <f>SUMIF(Financing!$D$9:$D$23,Cost_by_Input!$I15,Financing!$P$9:$P$23)</f>
        <v>0</v>
      </c>
      <c r="M15" s="635">
        <f>SUMIF(Financing!$D$9:$D$23,Cost_by_Input!$I15,Financing!$Q$9:$Q$23)</f>
        <v>0</v>
      </c>
      <c r="N15" s="635">
        <f>SUMIF(Financing!$D$9:$D$23,Cost_by_Input!$I15,Financing!$R$9:$R$23)</f>
        <v>0</v>
      </c>
      <c r="O15" s="638">
        <f>SUMIF(Financing!$D$9:$D$23,Cost_by_Input!$I15,Financing!$S$9:$S$23)</f>
        <v>0</v>
      </c>
      <c r="Q15" s="8" t="str">
        <f t="shared" si="4"/>
        <v>Capital Costs</v>
      </c>
      <c r="R15" s="635">
        <f t="shared" si="11"/>
        <v>0</v>
      </c>
      <c r="S15" s="635">
        <f t="shared" si="12"/>
        <v>0</v>
      </c>
      <c r="T15" s="635">
        <f t="shared" si="13"/>
        <v>0</v>
      </c>
      <c r="U15" s="635">
        <f t="shared" si="14"/>
        <v>0</v>
      </c>
      <c r="V15" s="635">
        <f t="shared" si="15"/>
        <v>0</v>
      </c>
      <c r="W15" s="638">
        <f t="shared" si="16"/>
        <v>0</v>
      </c>
      <c r="Y15" s="566">
        <f>Parameters!C50</f>
        <v>0</v>
      </c>
      <c r="Z15" s="516">
        <f>SUMIF(Financing!$B$9:$B$23,$Y15,Financing!N$9:N$23)</f>
        <v>0</v>
      </c>
      <c r="AA15" s="516">
        <f>SUMIF(Financing!$B$9:$B$23,$Y15,Financing!O$9:O$23)</f>
        <v>0</v>
      </c>
      <c r="AB15" s="516">
        <f>SUMIF(Financing!$B$9:$B$23,$Y15,Financing!P$9:P$23)</f>
        <v>0</v>
      </c>
      <c r="AC15" s="516">
        <f>SUMIF(Financing!$B$9:$B$23,$Y15,Financing!Q$9:Q$23)</f>
        <v>0</v>
      </c>
      <c r="AD15" s="516">
        <f>SUMIF(Financing!$B$9:$B$23,$Y15,Financing!R$9:R$23)</f>
        <v>0</v>
      </c>
      <c r="AE15" s="516">
        <f>SUMIF(Financing!$B$9:$B$23,$Y15,Financing!S$9:S$23)</f>
        <v>0</v>
      </c>
    </row>
    <row r="16" spans="1:31">
      <c r="A16" s="8">
        <f>Lists!H9</f>
        <v>0</v>
      </c>
      <c r="B16" s="635"/>
      <c r="C16" s="635"/>
      <c r="D16" s="635"/>
      <c r="E16" s="635"/>
      <c r="F16" s="635"/>
      <c r="G16" s="638"/>
      <c r="I16" s="8">
        <f t="shared" si="3"/>
        <v>0</v>
      </c>
      <c r="J16" s="635">
        <f>SUMIF(Financing!$D$9:$D$23,Cost_by_Input!$I16,Financing!$N$9:$N$23)</f>
        <v>0</v>
      </c>
      <c r="K16" s="635">
        <f>SUMIF(Financing!$D$9:$D$23,Cost_by_Input!$I16,Financing!$O$9:$O$23)</f>
        <v>0</v>
      </c>
      <c r="L16" s="635">
        <f>SUMIF(Financing!$D$9:$D$23,Cost_by_Input!$I16,Financing!$P$9:$P$23)</f>
        <v>0</v>
      </c>
      <c r="M16" s="635">
        <f>SUMIF(Financing!$D$9:$D$23,Cost_by_Input!$I16,Financing!$Q$9:$Q$23)</f>
        <v>0</v>
      </c>
      <c r="N16" s="635">
        <f>SUMIF(Financing!$D$9:$D$23,Cost_by_Input!$I16,Financing!$R$9:$R$23)</f>
        <v>0</v>
      </c>
      <c r="O16" s="638">
        <f>SUMIF(Financing!$D$9:$D$23,Cost_by_Input!$I16,Financing!$S$9:$S$23)</f>
        <v>0</v>
      </c>
      <c r="Q16" s="8">
        <f t="shared" si="4"/>
        <v>0</v>
      </c>
      <c r="R16" s="635">
        <f t="shared" si="11"/>
        <v>0</v>
      </c>
      <c r="S16" s="635">
        <f t="shared" si="12"/>
        <v>0</v>
      </c>
      <c r="T16" s="635">
        <f t="shared" si="13"/>
        <v>0</v>
      </c>
      <c r="U16" s="635">
        <f t="shared" si="14"/>
        <v>0</v>
      </c>
      <c r="V16" s="635">
        <f t="shared" si="15"/>
        <v>0</v>
      </c>
      <c r="W16" s="638">
        <f t="shared" si="16"/>
        <v>0</v>
      </c>
      <c r="Y16" s="566">
        <f>Parameters!C51</f>
        <v>0</v>
      </c>
      <c r="Z16" s="516">
        <f>SUMIF(Financing!$B$9:$B$23,$Y16,Financing!N$9:N$23)</f>
        <v>0</v>
      </c>
      <c r="AA16" s="516">
        <f>SUMIF(Financing!$B$9:$B$23,$Y16,Financing!O$9:O$23)</f>
        <v>0</v>
      </c>
      <c r="AB16" s="516">
        <f>SUMIF(Financing!$B$9:$B$23,$Y16,Financing!P$9:P$23)</f>
        <v>0</v>
      </c>
      <c r="AC16" s="516">
        <f>SUMIF(Financing!$B$9:$B$23,$Y16,Financing!Q$9:Q$23)</f>
        <v>0</v>
      </c>
      <c r="AD16" s="516">
        <f>SUMIF(Financing!$B$9:$B$23,$Y16,Financing!R$9:R$23)</f>
        <v>0</v>
      </c>
      <c r="AE16" s="516">
        <f>SUMIF(Financing!$B$9:$B$23,$Y16,Financing!S$9:S$23)</f>
        <v>0</v>
      </c>
    </row>
    <row r="17" spans="1:31">
      <c r="A17" s="8">
        <f>Lists!H10</f>
        <v>0</v>
      </c>
      <c r="B17" s="635"/>
      <c r="C17" s="635"/>
      <c r="D17" s="635"/>
      <c r="E17" s="635"/>
      <c r="F17" s="635"/>
      <c r="G17" s="638"/>
      <c r="I17" s="8">
        <f t="shared" si="3"/>
        <v>0</v>
      </c>
      <c r="J17" s="635">
        <f>SUMIF(Financing!$D$9:$D$23,Cost_by_Input!$I17,Financing!$N$9:$N$23)</f>
        <v>0</v>
      </c>
      <c r="K17" s="635">
        <f>SUMIF(Financing!$D$9:$D$23,Cost_by_Input!$I17,Financing!$O$9:$O$23)</f>
        <v>0</v>
      </c>
      <c r="L17" s="635">
        <f>SUMIF(Financing!$D$9:$D$23,Cost_by_Input!$I17,Financing!$P$9:$P$23)</f>
        <v>0</v>
      </c>
      <c r="M17" s="635">
        <f>SUMIF(Financing!$D$9:$D$23,Cost_by_Input!$I17,Financing!$Q$9:$Q$23)</f>
        <v>0</v>
      </c>
      <c r="N17" s="635">
        <f>SUMIF(Financing!$D$9:$D$23,Cost_by_Input!$I17,Financing!$R$9:$R$23)</f>
        <v>0</v>
      </c>
      <c r="O17" s="638">
        <f>SUMIF(Financing!$D$9:$D$23,Cost_by_Input!$I17,Financing!$S$9:$S$23)</f>
        <v>0</v>
      </c>
      <c r="Q17" s="8">
        <f t="shared" si="4"/>
        <v>0</v>
      </c>
      <c r="R17" s="635">
        <f t="shared" si="11"/>
        <v>0</v>
      </c>
      <c r="S17" s="635">
        <f t="shared" si="12"/>
        <v>0</v>
      </c>
      <c r="T17" s="635">
        <f t="shared" si="13"/>
        <v>0</v>
      </c>
      <c r="U17" s="635">
        <f t="shared" si="14"/>
        <v>0</v>
      </c>
      <c r="V17" s="635">
        <f t="shared" si="15"/>
        <v>0</v>
      </c>
      <c r="W17" s="638">
        <f t="shared" si="16"/>
        <v>0</v>
      </c>
      <c r="Y17" s="566">
        <f>Parameters!C52</f>
        <v>0</v>
      </c>
      <c r="Z17" s="516">
        <f>SUMIF(Financing!$B$9:$B$23,$Y17,Financing!N$9:N$23)</f>
        <v>0</v>
      </c>
      <c r="AA17" s="516">
        <f>SUMIF(Financing!$B$9:$B$23,$Y17,Financing!O$9:O$23)</f>
        <v>0</v>
      </c>
      <c r="AB17" s="516">
        <f>SUMIF(Financing!$B$9:$B$23,$Y17,Financing!P$9:P$23)</f>
        <v>0</v>
      </c>
      <c r="AC17" s="516">
        <f>SUMIF(Financing!$B$9:$B$23,$Y17,Financing!Q$9:Q$23)</f>
        <v>0</v>
      </c>
      <c r="AD17" s="516">
        <f>SUMIF(Financing!$B$9:$B$23,$Y17,Financing!R$9:R$23)</f>
        <v>0</v>
      </c>
      <c r="AE17" s="516">
        <f>SUMIF(Financing!$B$9:$B$23,$Y17,Financing!S$9:S$23)</f>
        <v>0</v>
      </c>
    </row>
    <row r="18" spans="1:31">
      <c r="A18" s="8">
        <f>Lists!H11</f>
        <v>0</v>
      </c>
      <c r="B18" s="635"/>
      <c r="C18" s="635"/>
      <c r="D18" s="635"/>
      <c r="E18" s="635"/>
      <c r="F18" s="635"/>
      <c r="G18" s="638"/>
      <c r="I18" s="8">
        <f t="shared" si="3"/>
        <v>0</v>
      </c>
      <c r="J18" s="635">
        <f>SUMIF(Financing!$D$9:$D$23,Cost_by_Input!$I18,Financing!$N$9:$N$23)</f>
        <v>0</v>
      </c>
      <c r="K18" s="635">
        <f>SUMIF(Financing!$D$9:$D$23,Cost_by_Input!$I18,Financing!$O$9:$O$23)</f>
        <v>0</v>
      </c>
      <c r="L18" s="635">
        <f>SUMIF(Financing!$D$9:$D$23,Cost_by_Input!$I18,Financing!$P$9:$P$23)</f>
        <v>0</v>
      </c>
      <c r="M18" s="635">
        <f>SUMIF(Financing!$D$9:$D$23,Cost_by_Input!$I18,Financing!$Q$9:$Q$23)</f>
        <v>0</v>
      </c>
      <c r="N18" s="635">
        <f>SUMIF(Financing!$D$9:$D$23,Cost_by_Input!$I18,Financing!$R$9:$R$23)</f>
        <v>0</v>
      </c>
      <c r="O18" s="638">
        <f>SUMIF(Financing!$D$9:$D$23,Cost_by_Input!$I18,Financing!$S$9:$S$23)</f>
        <v>0</v>
      </c>
      <c r="Q18" s="8">
        <f t="shared" si="4"/>
        <v>0</v>
      </c>
      <c r="R18" s="635">
        <f t="shared" si="11"/>
        <v>0</v>
      </c>
      <c r="S18" s="635">
        <f t="shared" si="12"/>
        <v>0</v>
      </c>
      <c r="T18" s="635">
        <f t="shared" si="13"/>
        <v>0</v>
      </c>
      <c r="U18" s="635">
        <f t="shared" si="14"/>
        <v>0</v>
      </c>
      <c r="V18" s="635">
        <f t="shared" si="15"/>
        <v>0</v>
      </c>
      <c r="W18" s="638">
        <f t="shared" si="16"/>
        <v>0</v>
      </c>
      <c r="Y18" s="566">
        <f>Parameters!C53</f>
        <v>0</v>
      </c>
      <c r="Z18" s="516">
        <f>SUMIF(Financing!$B$9:$B$23,$Y18,Financing!N$9:N$23)</f>
        <v>0</v>
      </c>
      <c r="AA18" s="516">
        <f>SUMIF(Financing!$B$9:$B$23,$Y18,Financing!O$9:O$23)</f>
        <v>0</v>
      </c>
      <c r="AB18" s="516">
        <f>SUMIF(Financing!$B$9:$B$23,$Y18,Financing!P$9:P$23)</f>
        <v>0</v>
      </c>
      <c r="AC18" s="516">
        <f>SUMIF(Financing!$B$9:$B$23,$Y18,Financing!Q$9:Q$23)</f>
        <v>0</v>
      </c>
      <c r="AD18" s="516">
        <f>SUMIF(Financing!$B$9:$B$23,$Y18,Financing!R$9:R$23)</f>
        <v>0</v>
      </c>
      <c r="AE18" s="516">
        <f>SUMIF(Financing!$B$9:$B$23,$Y18,Financing!S$9:S$23)</f>
        <v>0</v>
      </c>
    </row>
    <row r="19" spans="1:31">
      <c r="A19" s="8">
        <f>Lists!H12</f>
        <v>0</v>
      </c>
      <c r="B19" s="635"/>
      <c r="C19" s="635"/>
      <c r="D19" s="635"/>
      <c r="E19" s="635"/>
      <c r="F19" s="635"/>
      <c r="G19" s="638"/>
      <c r="I19" s="8">
        <f t="shared" si="3"/>
        <v>0</v>
      </c>
      <c r="J19" s="635">
        <f>SUMIF(Financing!$D$9:$D$23,Cost_by_Input!$I19,Financing!$N$9:$N$23)</f>
        <v>0</v>
      </c>
      <c r="K19" s="635">
        <f>SUMIF(Financing!$D$9:$D$23,Cost_by_Input!$I19,Financing!$O$9:$O$23)</f>
        <v>0</v>
      </c>
      <c r="L19" s="635">
        <f>SUMIF(Financing!$D$9:$D$23,Cost_by_Input!$I19,Financing!$P$9:$P$23)</f>
        <v>0</v>
      </c>
      <c r="M19" s="635">
        <f>SUMIF(Financing!$D$9:$D$23,Cost_by_Input!$I19,Financing!$Q$9:$Q$23)</f>
        <v>0</v>
      </c>
      <c r="N19" s="635">
        <f>SUMIF(Financing!$D$9:$D$23,Cost_by_Input!$I19,Financing!$R$9:$R$23)</f>
        <v>0</v>
      </c>
      <c r="O19" s="638">
        <f>SUMIF(Financing!$D$9:$D$23,Cost_by_Input!$I19,Financing!$S$9:$S$23)</f>
        <v>0</v>
      </c>
      <c r="Q19" s="8">
        <f t="shared" si="4"/>
        <v>0</v>
      </c>
      <c r="R19" s="635">
        <f t="shared" si="11"/>
        <v>0</v>
      </c>
      <c r="S19" s="635">
        <f t="shared" si="12"/>
        <v>0</v>
      </c>
      <c r="T19" s="635">
        <f t="shared" si="13"/>
        <v>0</v>
      </c>
      <c r="U19" s="635">
        <f t="shared" si="14"/>
        <v>0</v>
      </c>
      <c r="V19" s="635">
        <f t="shared" si="15"/>
        <v>0</v>
      </c>
      <c r="W19" s="638">
        <f t="shared" si="16"/>
        <v>0</v>
      </c>
      <c r="Y19" s="566">
        <f>Parameters!C54</f>
        <v>0</v>
      </c>
      <c r="Z19" s="516">
        <f>SUMIF(Financing!$B$9:$B$23,$Y19,Financing!N$9:N$23)</f>
        <v>0</v>
      </c>
      <c r="AA19" s="516">
        <f>SUMIF(Financing!$B$9:$B$23,$Y19,Financing!O$9:O$23)</f>
        <v>0</v>
      </c>
      <c r="AB19" s="516">
        <f>SUMIF(Financing!$B$9:$B$23,$Y19,Financing!P$9:P$23)</f>
        <v>0</v>
      </c>
      <c r="AC19" s="516">
        <f>SUMIF(Financing!$B$9:$B$23,$Y19,Financing!Q$9:Q$23)</f>
        <v>0</v>
      </c>
      <c r="AD19" s="516">
        <f>SUMIF(Financing!$B$9:$B$23,$Y19,Financing!R$9:R$23)</f>
        <v>0</v>
      </c>
      <c r="AE19" s="516">
        <f>SUMIF(Financing!$B$9:$B$23,$Y19,Financing!S$9:S$23)</f>
        <v>0</v>
      </c>
    </row>
    <row r="20" spans="1:31">
      <c r="A20" s="9">
        <f>Lists!H13</f>
        <v>0</v>
      </c>
      <c r="B20" s="636"/>
      <c r="C20" s="636"/>
      <c r="D20" s="636"/>
      <c r="E20" s="636"/>
      <c r="F20" s="636"/>
      <c r="G20" s="637"/>
      <c r="I20" s="9">
        <f t="shared" si="3"/>
        <v>0</v>
      </c>
      <c r="J20" s="636">
        <f>SUMIF(Financing!$D$9:$D$23,Cost_by_Input!$I20,Financing!$N$9:$N$23)</f>
        <v>0</v>
      </c>
      <c r="K20" s="636">
        <f>SUMIF(Financing!$D$9:$D$23,Cost_by_Input!$I20,Financing!$O$9:$O$23)</f>
        <v>0</v>
      </c>
      <c r="L20" s="636">
        <f>SUMIF(Financing!$D$9:$D$23,Cost_by_Input!$I20,Financing!$P$9:$P$23)</f>
        <v>0</v>
      </c>
      <c r="M20" s="636">
        <f>SUMIF(Financing!$D$9:$D$23,Cost_by_Input!$I20,Financing!$Q$9:$Q$23)</f>
        <v>0</v>
      </c>
      <c r="N20" s="636">
        <f>SUMIF(Financing!$D$9:$D$23,Cost_by_Input!$I20,Financing!$R$9:$R$23)</f>
        <v>0</v>
      </c>
      <c r="O20" s="637">
        <f>SUMIF(Financing!$D$9:$D$23,Cost_by_Input!$I20,Financing!$S$9:$S$23)</f>
        <v>0</v>
      </c>
      <c r="Q20" s="9">
        <f t="shared" si="4"/>
        <v>0</v>
      </c>
      <c r="R20" s="636">
        <f t="shared" si="11"/>
        <v>0</v>
      </c>
      <c r="S20" s="636">
        <f t="shared" si="12"/>
        <v>0</v>
      </c>
      <c r="T20" s="636">
        <f t="shared" si="13"/>
        <v>0</v>
      </c>
      <c r="U20" s="636">
        <f t="shared" si="14"/>
        <v>0</v>
      </c>
      <c r="V20" s="636">
        <f t="shared" si="15"/>
        <v>0</v>
      </c>
      <c r="W20" s="637">
        <f t="shared" si="16"/>
        <v>0</v>
      </c>
      <c r="Y20" s="566">
        <f>Parameters!C55</f>
        <v>0</v>
      </c>
      <c r="Z20" s="516">
        <f>SUMIF(Financing!$B$9:$B$23,$Y20,Financing!N$9:N$23)</f>
        <v>0</v>
      </c>
      <c r="AA20" s="516">
        <f>SUMIF(Financing!$B$9:$B$23,$Y20,Financing!O$9:O$23)</f>
        <v>0</v>
      </c>
      <c r="AB20" s="516">
        <f>SUMIF(Financing!$B$9:$B$23,$Y20,Financing!P$9:P$23)</f>
        <v>0</v>
      </c>
      <c r="AC20" s="516">
        <f>SUMIF(Financing!$B$9:$B$23,$Y20,Financing!Q$9:Q$23)</f>
        <v>0</v>
      </c>
      <c r="AD20" s="516">
        <f>SUMIF(Financing!$B$9:$B$23,$Y20,Financing!R$9:R$23)</f>
        <v>0</v>
      </c>
      <c r="AE20" s="516">
        <f>SUMIF(Financing!$B$9:$B$23,$Y20,Financing!S$9:S$23)</f>
        <v>0</v>
      </c>
    </row>
    <row r="21" spans="1:31">
      <c r="A21" s="4" t="s">
        <v>1345</v>
      </c>
      <c r="B21" s="715" t="e">
        <f t="shared" ref="B21:G21" si="27">SUM(B9:B20)</f>
        <v>#N/A</v>
      </c>
      <c r="C21" s="715" t="e">
        <f t="shared" si="27"/>
        <v>#N/A</v>
      </c>
      <c r="D21" s="715" t="e">
        <f t="shared" si="27"/>
        <v>#N/A</v>
      </c>
      <c r="E21" s="715" t="e">
        <f t="shared" si="27"/>
        <v>#N/A</v>
      </c>
      <c r="F21" s="715" t="e">
        <f t="shared" si="27"/>
        <v>#N/A</v>
      </c>
      <c r="G21" s="715" t="e">
        <f t="shared" si="27"/>
        <v>#N/A</v>
      </c>
      <c r="H21" s="4"/>
      <c r="I21" s="4" t="s">
        <v>1164</v>
      </c>
      <c r="J21" s="715">
        <f t="shared" ref="J21:O21" si="28">SUM(J9:J20)</f>
        <v>0</v>
      </c>
      <c r="K21" s="715">
        <f t="shared" si="28"/>
        <v>0</v>
      </c>
      <c r="L21" s="715">
        <f t="shared" si="28"/>
        <v>0</v>
      </c>
      <c r="M21" s="715">
        <f t="shared" si="28"/>
        <v>0</v>
      </c>
      <c r="N21" s="715">
        <f t="shared" si="28"/>
        <v>0</v>
      </c>
      <c r="O21" s="715">
        <f t="shared" si="28"/>
        <v>0</v>
      </c>
      <c r="Q21" s="4" t="s">
        <v>1164</v>
      </c>
      <c r="R21" s="715" t="e">
        <f t="shared" ref="R21:W21" si="29">SUM(R9:R20)</f>
        <v>#N/A</v>
      </c>
      <c r="S21" s="715" t="e">
        <f t="shared" si="29"/>
        <v>#N/A</v>
      </c>
      <c r="T21" s="715" t="e">
        <f t="shared" si="29"/>
        <v>#N/A</v>
      </c>
      <c r="U21" s="715" t="e">
        <f t="shared" si="29"/>
        <v>#N/A</v>
      </c>
      <c r="V21" s="715" t="e">
        <f t="shared" si="29"/>
        <v>#N/A</v>
      </c>
      <c r="W21" s="715" t="e">
        <f t="shared" si="29"/>
        <v>#N/A</v>
      </c>
      <c r="Y21" s="566">
        <f>Parameters!C56</f>
        <v>0</v>
      </c>
      <c r="Z21" s="516">
        <f>SUMIF(Financing!$B$9:$B$23,$Y21,Financing!N$9:N$23)</f>
        <v>0</v>
      </c>
      <c r="AA21" s="516">
        <f>SUMIF(Financing!$B$9:$B$23,$Y21,Financing!O$9:O$23)</f>
        <v>0</v>
      </c>
      <c r="AB21" s="516">
        <f>SUMIF(Financing!$B$9:$B$23,$Y21,Financing!P$9:P$23)</f>
        <v>0</v>
      </c>
      <c r="AC21" s="516">
        <f>SUMIF(Financing!$B$9:$B$23,$Y21,Financing!Q$9:Q$23)</f>
        <v>0</v>
      </c>
      <c r="AD21" s="516">
        <f>SUMIF(Financing!$B$9:$B$23,$Y21,Financing!R$9:R$23)</f>
        <v>0</v>
      </c>
      <c r="AE21" s="516">
        <f>SUMIF(Financing!$B$9:$B$23,$Y21,Financing!S$9:S$23)</f>
        <v>0</v>
      </c>
    </row>
    <row r="22" spans="1:31">
      <c r="B22" s="516"/>
      <c r="C22" s="516"/>
      <c r="D22" s="516"/>
      <c r="E22" s="516"/>
      <c r="F22" s="516"/>
      <c r="G22" s="516"/>
      <c r="Y22" s="566">
        <f>Parameters!C57</f>
        <v>0</v>
      </c>
      <c r="Z22" s="516">
        <f>SUMIF(Financing!$B$9:$B$23,$Y22,Financing!N$9:N$23)</f>
        <v>0</v>
      </c>
      <c r="AA22" s="516">
        <f>SUMIF(Financing!$B$9:$B$23,$Y22,Financing!O$9:O$23)</f>
        <v>0</v>
      </c>
      <c r="AB22" s="516">
        <f>SUMIF(Financing!$B$9:$B$23,$Y22,Financing!P$9:P$23)</f>
        <v>0</v>
      </c>
      <c r="AC22" s="516">
        <f>SUMIF(Financing!$B$9:$B$23,$Y22,Financing!Q$9:Q$23)</f>
        <v>0</v>
      </c>
      <c r="AD22" s="516">
        <f>SUMIF(Financing!$B$9:$B$23,$Y22,Financing!R$9:R$23)</f>
        <v>0</v>
      </c>
      <c r="AE22" s="516">
        <f>SUMIF(Financing!$B$9:$B$23,$Y22,Financing!S$9:S$23)</f>
        <v>0</v>
      </c>
    </row>
    <row r="23" spans="1:31">
      <c r="B23" s="516"/>
      <c r="C23" s="516"/>
      <c r="D23" s="516"/>
      <c r="E23" s="516"/>
      <c r="F23" s="516"/>
      <c r="G23" s="516"/>
      <c r="Y23" t="s">
        <v>1387</v>
      </c>
      <c r="Z23" s="516" t="e">
        <f>-(R21)</f>
        <v>#N/A</v>
      </c>
      <c r="AA23" s="516" t="e">
        <f t="shared" ref="AA23:AE23" si="30">-S21</f>
        <v>#N/A</v>
      </c>
      <c r="AB23" s="516" t="e">
        <f t="shared" si="30"/>
        <v>#N/A</v>
      </c>
      <c r="AC23" s="516" t="e">
        <f t="shared" si="30"/>
        <v>#N/A</v>
      </c>
      <c r="AD23" s="516" t="e">
        <f t="shared" si="30"/>
        <v>#N/A</v>
      </c>
      <c r="AE23" s="516" t="e">
        <f t="shared" si="30"/>
        <v>#N/A</v>
      </c>
    </row>
    <row r="24" spans="1:31">
      <c r="A24" s="4" t="s">
        <v>1348</v>
      </c>
      <c r="B24" s="516"/>
      <c r="C24" s="516"/>
      <c r="D24" s="516"/>
      <c r="E24" s="516"/>
      <c r="F24" s="516"/>
      <c r="G24" s="516"/>
      <c r="Y24" t="s">
        <v>1164</v>
      </c>
      <c r="Z24" s="516">
        <f t="shared" ref="Z24:AE24" si="31">SUM(Z9:Z22)</f>
        <v>0</v>
      </c>
      <c r="AA24" s="516">
        <f t="shared" si="31"/>
        <v>0</v>
      </c>
      <c r="AB24" s="516">
        <f t="shared" si="31"/>
        <v>0</v>
      </c>
      <c r="AC24" s="516">
        <f t="shared" si="31"/>
        <v>0</v>
      </c>
      <c r="AD24" s="516">
        <f t="shared" si="31"/>
        <v>0</v>
      </c>
      <c r="AE24" s="516">
        <f t="shared" si="31"/>
        <v>0</v>
      </c>
    </row>
    <row r="25" spans="1:31">
      <c r="B25" s="715"/>
      <c r="C25" s="715"/>
      <c r="D25" s="715"/>
      <c r="E25" s="715"/>
      <c r="F25" s="715"/>
      <c r="G25" s="715"/>
    </row>
    <row r="26" spans="1:31">
      <c r="A26" s="436" t="s">
        <v>1463</v>
      </c>
      <c r="B26" s="716"/>
      <c r="C26" s="716"/>
      <c r="D26" s="716"/>
      <c r="E26" s="716"/>
      <c r="F26" s="716"/>
      <c r="G26" s="716"/>
    </row>
    <row r="27" spans="1:31">
      <c r="A27" s="6">
        <f>Lists!C2</f>
        <v>0</v>
      </c>
      <c r="B27" s="707">
        <f>IF($A27=0,0,VLOOKUP($A27,lookup_rt_numbers,B$5,FALSE)*Staff_Costs!$J$9)</f>
        <v>0</v>
      </c>
      <c r="C27" s="707">
        <f>IF($A27=0,0,VLOOKUP($A27,lookup_rt_numbers,C$5,FALSE)*Staff_Costs!$J$9)</f>
        <v>0</v>
      </c>
      <c r="D27" s="707">
        <f>IF($A27=0,0,VLOOKUP($A27,lookup_rt_numbers,D$5,FALSE)*Staff_Costs!$J$9)</f>
        <v>0</v>
      </c>
      <c r="E27" s="707">
        <f>IF($A27=0,0,VLOOKUP($A27,lookup_rt_numbers,E$5,FALSE)*Staff_Costs!$J$9)</f>
        <v>0</v>
      </c>
      <c r="F27" s="707">
        <f>IF($A27=0,0,VLOOKUP($A27,lookup_rt_numbers,F$5,FALSE)*Staff_Costs!$J$9)</f>
        <v>0</v>
      </c>
      <c r="G27" s="708">
        <f>IF($A27=0,0,VLOOKUP($A27,lookup_rt_numbers,G$5,FALSE)*Staff_Costs!$J$9)</f>
        <v>0</v>
      </c>
    </row>
    <row r="28" spans="1:31">
      <c r="A28" s="245" t="str">
        <f>Lists!C3</f>
        <v>Dispensing Optician (C/S)</v>
      </c>
      <c r="B28" s="635" t="e">
        <f>IF($A28=0,0,VLOOKUP($A28,lookup_rt_numbers,B$5,FALSE)*Staff_Costs!$J$9)</f>
        <v>#N/A</v>
      </c>
      <c r="C28" s="635" t="e">
        <f>IF($A28=0,0,VLOOKUP($A28,lookup_rt_numbers,C$5,FALSE)*Staff_Costs!$J$9)</f>
        <v>#N/A</v>
      </c>
      <c r="D28" s="635" t="e">
        <f>IF($A28=0,0,VLOOKUP($A28,lookup_rt_numbers,D$5,FALSE)*Staff_Costs!$J$9)</f>
        <v>#N/A</v>
      </c>
      <c r="E28" s="635" t="e">
        <f>IF($A28=0,0,VLOOKUP($A28,lookup_rt_numbers,E$5,FALSE)*Staff_Costs!$J$9)</f>
        <v>#N/A</v>
      </c>
      <c r="F28" s="635" t="e">
        <f>IF($A28=0,0,VLOOKUP($A28,lookup_rt_numbers,F$5,FALSE)*Staff_Costs!$J$9)</f>
        <v>#N/A</v>
      </c>
      <c r="G28" s="638" t="e">
        <f>IF($A28=0,0,VLOOKUP($A28,lookup_rt_numbers,G$5,FALSE)*Staff_Costs!$J$9)</f>
        <v>#N/A</v>
      </c>
    </row>
    <row r="29" spans="1:31">
      <c r="A29" s="245">
        <f>Lists!C4</f>
        <v>0</v>
      </c>
      <c r="B29" s="635">
        <f>IF($A29=0,0,VLOOKUP($A29,lookup_rt_numbers,B$5,FALSE)*Staff_Costs!$J$9)</f>
        <v>0</v>
      </c>
      <c r="C29" s="635">
        <f>IF($A29=0,0,VLOOKUP($A29,lookup_rt_numbers,C$5,FALSE)*Staff_Costs!$J$9)</f>
        <v>0</v>
      </c>
      <c r="D29" s="635">
        <f>IF($A29=0,0,VLOOKUP($A29,lookup_rt_numbers,D$5,FALSE)*Staff_Costs!$J$9)</f>
        <v>0</v>
      </c>
      <c r="E29" s="635">
        <f>IF($A29=0,0,VLOOKUP($A29,lookup_rt_numbers,E$5,FALSE)*Staff_Costs!$J$9)</f>
        <v>0</v>
      </c>
      <c r="F29" s="635">
        <f>IF($A29=0,0,VLOOKUP($A29,lookup_rt_numbers,F$5,FALSE)*Staff_Costs!$J$9)</f>
        <v>0</v>
      </c>
      <c r="G29" s="638">
        <f>IF($A29=0,0,VLOOKUP($A29,lookup_rt_numbers,G$5,FALSE)*Staff_Costs!$J$9)</f>
        <v>0</v>
      </c>
    </row>
    <row r="30" spans="1:31">
      <c r="A30" s="245">
        <f>Lists!C5</f>
        <v>0</v>
      </c>
      <c r="B30" s="635">
        <f>IF($A30=0,0,VLOOKUP($A30,lookup_rt_numbers,B$5,FALSE)*Staff_Costs!$J$9)</f>
        <v>0</v>
      </c>
      <c r="C30" s="635">
        <f>IF($A30=0,0,VLOOKUP($A30,lookup_rt_numbers,C$5,FALSE)*Staff_Costs!$J$9)</f>
        <v>0</v>
      </c>
      <c r="D30" s="635">
        <f>IF($A30=0,0,VLOOKUP($A30,lookup_rt_numbers,D$5,FALSE)*Staff_Costs!$J$9)</f>
        <v>0</v>
      </c>
      <c r="E30" s="635">
        <f>IF($A30=0,0,VLOOKUP($A30,lookup_rt_numbers,E$5,FALSE)*Staff_Costs!$J$9)</f>
        <v>0</v>
      </c>
      <c r="F30" s="635">
        <f>IF($A30=0,0,VLOOKUP($A30,lookup_rt_numbers,F$5,FALSE)*Staff_Costs!$J$9)</f>
        <v>0</v>
      </c>
      <c r="G30" s="638">
        <f>IF($A30=0,0,VLOOKUP($A30,lookup_rt_numbers,G$5,FALSE)*Staff_Costs!$J$9)</f>
        <v>0</v>
      </c>
    </row>
    <row r="31" spans="1:31">
      <c r="A31" s="245">
        <f>Lists!C6</f>
        <v>0</v>
      </c>
      <c r="B31" s="635">
        <f>IF($A31=0,0,VLOOKUP($A31,lookup_rt_numbers,B$5,FALSE)*Staff_Costs!$J$9)</f>
        <v>0</v>
      </c>
      <c r="C31" s="635">
        <f>IF($A31=0,0,VLOOKUP($A31,lookup_rt_numbers,C$5,FALSE)*Staff_Costs!$J$9)</f>
        <v>0</v>
      </c>
      <c r="D31" s="635">
        <f>IF($A31=0,0,VLOOKUP($A31,lookup_rt_numbers,D$5,FALSE)*Staff_Costs!$J$9)</f>
        <v>0</v>
      </c>
      <c r="E31" s="635">
        <f>IF($A31=0,0,VLOOKUP($A31,lookup_rt_numbers,E$5,FALSE)*Staff_Costs!$J$9)</f>
        <v>0</v>
      </c>
      <c r="F31" s="635">
        <f>IF($A31=0,0,VLOOKUP($A31,lookup_rt_numbers,F$5,FALSE)*Staff_Costs!$J$9)</f>
        <v>0</v>
      </c>
      <c r="G31" s="638">
        <f>IF($A31=0,0,VLOOKUP($A31,lookup_rt_numbers,G$5,FALSE)*Staff_Costs!$J$9)</f>
        <v>0</v>
      </c>
    </row>
    <row r="32" spans="1:31">
      <c r="A32" s="245">
        <f>Lists!C7</f>
        <v>0</v>
      </c>
      <c r="B32" s="635">
        <f>IF($A32=0,0,VLOOKUP($A32,lookup_rt_numbers,B$5,FALSE)*Staff_Costs!$J$9)</f>
        <v>0</v>
      </c>
      <c r="C32" s="635">
        <f>IF($A32=0,0,VLOOKUP($A32,lookup_rt_numbers,C$5,FALSE)*Staff_Costs!$J$9)</f>
        <v>0</v>
      </c>
      <c r="D32" s="635">
        <f>IF($A32=0,0,VLOOKUP($A32,lookup_rt_numbers,D$5,FALSE)*Staff_Costs!$J$9)</f>
        <v>0</v>
      </c>
      <c r="E32" s="635">
        <f>IF($A32=0,0,VLOOKUP($A32,lookup_rt_numbers,E$5,FALSE)*Staff_Costs!$J$9)</f>
        <v>0</v>
      </c>
      <c r="F32" s="635">
        <f>IF($A32=0,0,VLOOKUP($A32,lookup_rt_numbers,F$5,FALSE)*Staff_Costs!$J$9)</f>
        <v>0</v>
      </c>
      <c r="G32" s="638">
        <f>IF($A32=0,0,VLOOKUP($A32,lookup_rt_numbers,G$5,FALSE)*Staff_Costs!$J$9)</f>
        <v>0</v>
      </c>
    </row>
    <row r="33" spans="1:7" ht="15" thickBot="1">
      <c r="A33" s="245">
        <f>Lists!C8</f>
        <v>0</v>
      </c>
      <c r="B33" s="635">
        <f>IF($A33=0,0,VLOOKUP($A33,lookup_rt_numbers,B$5,FALSE)*Staff_Costs!$J$9)</f>
        <v>0</v>
      </c>
      <c r="C33" s="635">
        <f>IF($A33=0,0,VLOOKUP($A33,lookup_rt_numbers,C$5,FALSE)*Staff_Costs!$J$9)</f>
        <v>0</v>
      </c>
      <c r="D33" s="635">
        <f>IF($A33=0,0,VLOOKUP($A33,lookup_rt_numbers,D$5,FALSE)*Staff_Costs!$J$9)</f>
        <v>0</v>
      </c>
      <c r="E33" s="635">
        <f>IF($A33=0,0,VLOOKUP($A33,lookup_rt_numbers,E$5,FALSE)*Staff_Costs!$J$9)</f>
        <v>0</v>
      </c>
      <c r="F33" s="635">
        <f>IF($A33=0,0,VLOOKUP($A33,lookup_rt_numbers,F$5,FALSE)*Staff_Costs!$J$9)</f>
        <v>0</v>
      </c>
      <c r="G33" s="638">
        <f>IF($A33=0,0,VLOOKUP($A33,lookup_rt_numbers,G$5,FALSE)*Staff_Costs!$J$9)</f>
        <v>0</v>
      </c>
    </row>
    <row r="34" spans="1:7" ht="15" thickBot="1">
      <c r="A34" s="515" t="s">
        <v>1464</v>
      </c>
      <c r="B34" s="710" t="e">
        <f t="shared" ref="B34:G34" si="32">SUM(B27:B33)</f>
        <v>#N/A</v>
      </c>
      <c r="C34" s="710" t="e">
        <f t="shared" si="32"/>
        <v>#N/A</v>
      </c>
      <c r="D34" s="710" t="e">
        <f t="shared" si="32"/>
        <v>#N/A</v>
      </c>
      <c r="E34" s="710" t="e">
        <f t="shared" si="32"/>
        <v>#N/A</v>
      </c>
      <c r="F34" s="710" t="e">
        <f t="shared" si="32"/>
        <v>#N/A</v>
      </c>
      <c r="G34" s="711" t="e">
        <f t="shared" si="32"/>
        <v>#N/A</v>
      </c>
    </row>
    <row r="35" spans="1:7">
      <c r="B35" s="516"/>
      <c r="C35" s="516"/>
      <c r="D35" s="516"/>
      <c r="E35" s="516"/>
      <c r="F35" s="516"/>
      <c r="G35" s="516"/>
    </row>
    <row r="36" spans="1:7">
      <c r="A36" s="532" t="s">
        <v>1465</v>
      </c>
      <c r="B36" s="717"/>
      <c r="C36" s="717"/>
      <c r="D36" s="717"/>
      <c r="E36" s="717"/>
      <c r="F36" s="717"/>
      <c r="G36" s="717"/>
    </row>
    <row r="37" spans="1:7">
      <c r="A37" s="4">
        <f>Parameters!D20</f>
        <v>0</v>
      </c>
      <c r="B37" s="516" t="e">
        <f>SUMIF(Summary_TG!$C$9:$C$108,$A37,Summary_TG!Q9:Q108)</f>
        <v>#N/A</v>
      </c>
      <c r="C37" s="516" t="e">
        <f>SUMIF(Summary_TG!$C$9:$C$108,$A37,Summary_TG!$R$9:$R$108)</f>
        <v>#N/A</v>
      </c>
      <c r="D37" s="516" t="e">
        <f>SUMIF(Summary_TG!$C$9:$C$108,$A37,Summary_TG!$S$9:$S$108)</f>
        <v>#N/A</v>
      </c>
      <c r="E37" s="516" t="e">
        <f>SUMIF(Summary_TG!$C$9:$C$108,$A37,Summary_TG!$T$9:$T$108)</f>
        <v>#N/A</v>
      </c>
      <c r="F37" s="516" t="e">
        <f>SUMIF(Summary_TG!$C$9:$C$108,$A37,Summary_TG!$U$9:$U$108)</f>
        <v>#N/A</v>
      </c>
      <c r="G37" s="708" t="e">
        <f>SUMIF(Summary_TG!$C$9:$C$108,$A37,Summary_TG!$V$9:$V$108)</f>
        <v>#N/A</v>
      </c>
    </row>
    <row r="38" spans="1:7">
      <c r="B38" s="516" t="e">
        <f>SUMIF(Summary_TG!$C$9:$C$108,$A38,Summary_TG!Q10:Q109)</f>
        <v>#N/A</v>
      </c>
      <c r="C38" s="516" t="e">
        <f>SUMIF(Summary_TG!$C$9:$C$108,$A38,Summary_TG!$R$9:$R$108)</f>
        <v>#N/A</v>
      </c>
      <c r="D38" s="516" t="e">
        <f>SUMIF(Summary_TG!$C$9:$C$108,$A38,Summary_TG!$S$9:$S$108)</f>
        <v>#N/A</v>
      </c>
      <c r="E38" s="516" t="e">
        <f>SUMIF(Summary_TG!$C$9:$C$108,$A38,Summary_TG!$T$9:$T$108)</f>
        <v>#N/A</v>
      </c>
      <c r="F38" s="516" t="e">
        <f>SUMIF(Summary_TG!$C$9:$C$108,$A38,Summary_TG!$U$9:$U$108)</f>
        <v>#N/A</v>
      </c>
      <c r="G38" s="638" t="e">
        <f>SUMIF(Summary_TG!$C$9:$C$108,$A38,Summary_TG!$V$9:$V$108)</f>
        <v>#N/A</v>
      </c>
    </row>
    <row r="39" spans="1:7">
      <c r="B39" s="516">
        <f>SUMIF(Summary_TG!$C$9:$C$108,$A39,Summary_TG!Q11:Q110)</f>
        <v>0</v>
      </c>
      <c r="C39" s="516" t="e">
        <f>SUMIF(Summary_TG!$C$9:$C$108,$A39,Summary_TG!$R$9:$R$108)</f>
        <v>#N/A</v>
      </c>
      <c r="D39" s="516" t="e">
        <f>SUMIF(Summary_TG!$C$9:$C$108,$A39,Summary_TG!$S$9:$S$108)</f>
        <v>#N/A</v>
      </c>
      <c r="E39" s="516" t="e">
        <f>SUMIF(Summary_TG!$C$9:$C$108,$A39,Summary_TG!$T$9:$T$108)</f>
        <v>#N/A</v>
      </c>
      <c r="F39" s="516" t="e">
        <f>SUMIF(Summary_TG!$C$9:$C$108,$A39,Summary_TG!$U$9:$U$108)</f>
        <v>#N/A</v>
      </c>
      <c r="G39" s="638" t="e">
        <f>SUMIF(Summary_TG!$C$9:$C$108,$A39,Summary_TG!$V$9:$V$108)</f>
        <v>#N/A</v>
      </c>
    </row>
    <row r="40" spans="1:7">
      <c r="B40" s="516">
        <f>SUMIF(Summary_TG!$C$9:$C$108,$A40,Summary_TG!Q12:Q111)</f>
        <v>0</v>
      </c>
      <c r="C40" s="516" t="e">
        <f>SUMIF(Summary_TG!$C$9:$C$108,$A40,Summary_TG!$R$9:$R$108)</f>
        <v>#N/A</v>
      </c>
      <c r="D40" s="516" t="e">
        <f>SUMIF(Summary_TG!$C$9:$C$108,$A40,Summary_TG!$S$9:$S$108)</f>
        <v>#N/A</v>
      </c>
      <c r="E40" s="516" t="e">
        <f>SUMIF(Summary_TG!$C$9:$C$108,$A40,Summary_TG!$T$9:$T$108)</f>
        <v>#N/A</v>
      </c>
      <c r="F40" s="516" t="e">
        <f>SUMIF(Summary_TG!$C$9:$C$108,$A40,Summary_TG!$U$9:$U$108)</f>
        <v>#N/A</v>
      </c>
      <c r="G40" s="638" t="e">
        <f>SUMIF(Summary_TG!$C$9:$C$108,$A40,Summary_TG!$V$9:$V$108)</f>
        <v>#N/A</v>
      </c>
    </row>
    <row r="41" spans="1:7" ht="15" thickBot="1">
      <c r="B41" s="516">
        <f>SUMIF(Summary_TG!$C$9:$C$108,$A41,Summary_TG!Q13:Q112)</f>
        <v>0</v>
      </c>
      <c r="C41" s="516" t="e">
        <f>SUMIF(Summary_TG!$C$9:$C$108,$A41,Summary_TG!$R$9:$R$108)</f>
        <v>#N/A</v>
      </c>
      <c r="D41" s="516" t="e">
        <f>SUMIF(Summary_TG!$C$9:$C$108,$A41,Summary_TG!$S$9:$S$108)</f>
        <v>#N/A</v>
      </c>
      <c r="E41" s="516" t="e">
        <f>SUMIF(Summary_TG!$C$9:$C$108,$A41,Summary_TG!$T$9:$T$108)</f>
        <v>#N/A</v>
      </c>
      <c r="F41" s="516" t="e">
        <f>SUMIF(Summary_TG!$C$9:$C$108,$A41,Summary_TG!$U$9:$U$108)</f>
        <v>#N/A</v>
      </c>
      <c r="G41" s="944" t="e">
        <f>SUMIF(Summary_TG!$C$9:$C$108,$A41,Summary_TG!$V$9:$V$108)</f>
        <v>#N/A</v>
      </c>
    </row>
    <row r="42" spans="1:7" ht="15" thickBot="1">
      <c r="A42" s="515" t="s">
        <v>1466</v>
      </c>
      <c r="B42" s="713" t="e">
        <f>SUM(B37:B41)</f>
        <v>#N/A</v>
      </c>
      <c r="C42" s="713" t="e">
        <f t="shared" ref="C42:G42" si="33">SUM(C37:C41)</f>
        <v>#N/A</v>
      </c>
      <c r="D42" s="713" t="e">
        <f t="shared" si="33"/>
        <v>#N/A</v>
      </c>
      <c r="E42" s="713" t="e">
        <f t="shared" si="33"/>
        <v>#N/A</v>
      </c>
      <c r="F42" s="713" t="e">
        <f t="shared" si="33"/>
        <v>#N/A</v>
      </c>
      <c r="G42" s="714" t="e">
        <f t="shared" si="33"/>
        <v>#N/A</v>
      </c>
    </row>
    <row r="43" spans="1:7">
      <c r="B43" s="516"/>
      <c r="C43" s="516"/>
      <c r="D43" s="516"/>
      <c r="E43" s="516"/>
      <c r="F43" s="516"/>
      <c r="G43" s="516"/>
    </row>
    <row r="44" spans="1:7">
      <c r="B44" s="516"/>
      <c r="C44" s="516"/>
      <c r="D44" s="516"/>
      <c r="E44" s="516"/>
      <c r="F44" s="516"/>
      <c r="G44" s="516"/>
    </row>
    <row r="45" spans="1:7">
      <c r="A45" s="532" t="s">
        <v>1468</v>
      </c>
      <c r="B45" s="717"/>
      <c r="C45" s="717"/>
      <c r="D45" s="717"/>
      <c r="E45" s="717"/>
      <c r="F45" s="717"/>
      <c r="G45" s="717"/>
    </row>
    <row r="46" spans="1:7">
      <c r="A46" s="4">
        <f>Lists!C2</f>
        <v>0</v>
      </c>
      <c r="B46" s="516">
        <f>SUMIF(Training!$G$8:$G$17,A46,Training!P$8:P$17)</f>
        <v>0</v>
      </c>
      <c r="C46" s="516">
        <f>SUMIF(Training!$G$8:$G$17,A46,Training!Q$8:Q$17)</f>
        <v>0</v>
      </c>
      <c r="D46" s="516">
        <f>SUMIF(Training!$G$8:$G$17,A46,Training!R$8:R$17)</f>
        <v>0</v>
      </c>
      <c r="E46" s="516">
        <f>SUMIF(Training!$G$8:$G$17,A46,Training!S$8:S$17)</f>
        <v>0</v>
      </c>
      <c r="F46" s="516">
        <f>SUMIF(Training!$G$8:$G$17,A46,Training!T$8:T$17)</f>
        <v>0</v>
      </c>
      <c r="G46" s="708">
        <f>SUMIF(Training!$G$8:$G$17,$A$46,Training!U$8:U$17)</f>
        <v>0</v>
      </c>
    </row>
    <row r="47" spans="1:7">
      <c r="A47" s="4" t="str">
        <f>Lists!C3</f>
        <v>Dispensing Optician (C/S)</v>
      </c>
      <c r="B47" s="516">
        <f>SUMIF(Training!$G$8:$G$17,A47,Training!P$8:P$17)</f>
        <v>0</v>
      </c>
      <c r="C47" s="516">
        <f>SUMIF(Training!$G$8:$G$17,A47,Training!Q$8:Q$17)</f>
        <v>0</v>
      </c>
      <c r="D47" s="516">
        <f>SUMIF(Training!$G$8:$G$17,A47,Training!R$8:R$17)</f>
        <v>0</v>
      </c>
      <c r="E47" s="516">
        <f>SUMIF(Training!$G$8:$G$17,A47,Training!S$8:S$17)</f>
        <v>0</v>
      </c>
      <c r="F47" s="516">
        <f>SUMIF(Training!$G$8:$G$17,A47,Training!T$8:T$17)</f>
        <v>0</v>
      </c>
      <c r="G47" s="638">
        <f>SUMIF(Training!$G$8:$G$17,B47,Training!U$8:U$17)</f>
        <v>0</v>
      </c>
    </row>
    <row r="48" spans="1:7">
      <c r="A48" s="4">
        <f>Lists!C4</f>
        <v>0</v>
      </c>
      <c r="B48" s="516">
        <f>SUMIF(Training!$G$8:$G$17,A48,Training!P$8:P$17)</f>
        <v>0</v>
      </c>
      <c r="C48" s="516">
        <f>SUMIF(Training!$G$8:$G$17,A48,Training!Q$8:Q$17)</f>
        <v>0</v>
      </c>
      <c r="D48" s="516">
        <f>SUMIF(Training!$G$8:$G$17,A48,Training!R$8:R$17)</f>
        <v>0</v>
      </c>
      <c r="E48" s="516">
        <f>SUMIF(Training!$G$8:$G$17,A48,Training!S$8:S$17)</f>
        <v>0</v>
      </c>
      <c r="F48" s="516">
        <f>SUMIF(Training!$G$8:$G$17,A48,Training!T$8:T$17)</f>
        <v>0</v>
      </c>
      <c r="G48" s="638">
        <f>SUMIF(Training!$G$8:$G$17,B48,Training!U$8:U$17)</f>
        <v>0</v>
      </c>
    </row>
    <row r="49" spans="1:7">
      <c r="A49" s="4">
        <f>Lists!C5</f>
        <v>0</v>
      </c>
      <c r="B49" s="516">
        <f>SUMIF(Training!$G$8:$G$17,A49,Training!P$8:P$17)</f>
        <v>0</v>
      </c>
      <c r="C49" s="516">
        <f>SUMIF(Training!$G$8:$G$17,A49,Training!Q$8:Q$17)</f>
        <v>0</v>
      </c>
      <c r="D49" s="516">
        <f>SUMIF(Training!$G$8:$G$17,A49,Training!R$8:R$17)</f>
        <v>0</v>
      </c>
      <c r="E49" s="516">
        <f>SUMIF(Training!$G$8:$G$17,A49,Training!S$8:S$17)</f>
        <v>0</v>
      </c>
      <c r="F49" s="516">
        <f>SUMIF(Training!$G$8:$G$17,A49,Training!T$8:T$17)</f>
        <v>0</v>
      </c>
      <c r="G49" s="638">
        <f>SUMIF(Training!$G$8:$G$17,B49,Training!U$8:U$17)</f>
        <v>0</v>
      </c>
    </row>
    <row r="50" spans="1:7">
      <c r="A50" s="4">
        <f>Lists!C6</f>
        <v>0</v>
      </c>
      <c r="B50" s="516">
        <f>SUMIF(Training!$G$8:$G$17,A50,Training!P$8:P$17)</f>
        <v>0</v>
      </c>
      <c r="C50" s="516">
        <f>SUMIF(Training!$G$8:$G$17,A50,Training!Q$8:Q$17)</f>
        <v>0</v>
      </c>
      <c r="D50" s="516">
        <f>SUMIF(Training!$G$8:$G$17,A50,Training!R$8:R$17)</f>
        <v>0</v>
      </c>
      <c r="E50" s="516">
        <f>SUMIF(Training!$G$8:$G$17,A50,Training!S$8:S$17)</f>
        <v>0</v>
      </c>
      <c r="F50" s="516">
        <f>SUMIF(Training!$G$8:$G$17,A50,Training!T$8:T$17)</f>
        <v>0</v>
      </c>
      <c r="G50" s="638">
        <f>SUMIF(Training!$G$8:$G$17,B50,Training!U$8:U$17)</f>
        <v>0</v>
      </c>
    </row>
    <row r="51" spans="1:7">
      <c r="A51" s="4">
        <f>Lists!C7</f>
        <v>0</v>
      </c>
      <c r="B51" s="516">
        <f>SUMIF(Training!$G$8:$G$17,A51,Training!P$8:P$17)</f>
        <v>0</v>
      </c>
      <c r="C51" s="516">
        <f>SUMIF(Training!$G$8:$G$17,A51,Training!Q$8:Q$17)</f>
        <v>0</v>
      </c>
      <c r="D51" s="516">
        <f>SUMIF(Training!$G$8:$G$17,A51,Training!R$8:R$17)</f>
        <v>0</v>
      </c>
      <c r="E51" s="516">
        <f>SUMIF(Training!$G$8:$G$17,A51,Training!S$8:S$17)</f>
        <v>0</v>
      </c>
      <c r="F51" s="516">
        <f>SUMIF(Training!$G$8:$G$17,A51,Training!T$8:T$17)</f>
        <v>0</v>
      </c>
      <c r="G51" s="638">
        <f>SUMIF(Training!$G$8:$G$17,B51,Training!U$8:U$17)</f>
        <v>0</v>
      </c>
    </row>
    <row r="52" spans="1:7">
      <c r="A52" s="4">
        <f>Lists!C8</f>
        <v>0</v>
      </c>
      <c r="B52" s="516">
        <f>SUMIF(Training!$G$8:$G$17,A52,Training!P$8:P$17)</f>
        <v>0</v>
      </c>
      <c r="C52" s="516">
        <f>SUMIF(Training!$G$8:$G$17,A52,Training!Q$8:Q$17)</f>
        <v>0</v>
      </c>
      <c r="D52" s="516">
        <f>SUMIF(Training!$G$8:$G$17,A52,Training!R$8:R$17)</f>
        <v>0</v>
      </c>
      <c r="E52" s="516">
        <f>SUMIF(Training!$G$8:$G$17,A52,Training!S$8:S$17)</f>
        <v>0</v>
      </c>
      <c r="F52" s="516">
        <f>SUMIF(Training!$G$8:$G$17,A52,Training!T$8:T$17)</f>
        <v>0</v>
      </c>
      <c r="G52" s="638">
        <f>SUMIF(Training!$G$8:$G$17,B52,Training!U$8:U$17)</f>
        <v>0</v>
      </c>
    </row>
    <row r="53" spans="1:7">
      <c r="A53" s="4">
        <f>Lists!C9</f>
        <v>0</v>
      </c>
      <c r="B53" s="516">
        <f>SUMIF(Training!$G$8:$G$17,A53,Training!P$8:P$17)</f>
        <v>0</v>
      </c>
      <c r="C53" s="516">
        <f>SUMIF(Training!$G$8:$G$17,A53,Training!Q$8:Q$17)</f>
        <v>0</v>
      </c>
      <c r="D53" s="516">
        <f>SUMIF(Training!$G$8:$G$17,A53,Training!R$8:R$17)</f>
        <v>0</v>
      </c>
      <c r="E53" s="516">
        <f>SUMIF(Training!$G$8:$G$17,A53,Training!S$8:S$17)</f>
        <v>0</v>
      </c>
      <c r="F53" s="516">
        <f>SUMIF(Training!$G$8:$G$17,A53,Training!T$8:T$17)</f>
        <v>0</v>
      </c>
      <c r="G53" s="638">
        <f>SUMIF(Training!$G$8:$G$17,B53,Training!U$8:U$17)</f>
        <v>0</v>
      </c>
    </row>
    <row r="54" spans="1:7" ht="15" thickBot="1">
      <c r="B54" s="516"/>
      <c r="C54" s="516"/>
      <c r="D54" s="516"/>
      <c r="E54" s="516"/>
      <c r="F54" s="516"/>
      <c r="G54" s="944"/>
    </row>
    <row r="55" spans="1:7" ht="15" thickBot="1">
      <c r="A55" s="515"/>
      <c r="B55" s="710">
        <f>SUM(B46:B54)</f>
        <v>0</v>
      </c>
      <c r="C55" s="710">
        <f t="shared" ref="C55:G55" si="34">SUM(C46:C54)</f>
        <v>0</v>
      </c>
      <c r="D55" s="710">
        <f t="shared" si="34"/>
        <v>0</v>
      </c>
      <c r="E55" s="710">
        <f t="shared" si="34"/>
        <v>0</v>
      </c>
      <c r="F55" s="710">
        <f t="shared" si="34"/>
        <v>0</v>
      </c>
      <c r="G55" s="711">
        <f t="shared" si="34"/>
        <v>0</v>
      </c>
    </row>
    <row r="56" spans="1:7">
      <c r="A56" s="245"/>
      <c r="B56" s="639"/>
      <c r="C56" s="639"/>
      <c r="D56" s="639"/>
      <c r="E56" s="639"/>
      <c r="F56" s="639"/>
      <c r="G56" s="639"/>
    </row>
    <row r="57" spans="1:7">
      <c r="A57" s="436" t="s">
        <v>1493</v>
      </c>
      <c r="B57" s="718"/>
      <c r="C57" s="718"/>
      <c r="D57" s="718"/>
      <c r="E57" s="718"/>
      <c r="F57" s="718"/>
      <c r="G57" s="718"/>
    </row>
    <row r="58" spans="1:7">
      <c r="A58" s="245">
        <f>Demography!B12</f>
        <v>0</v>
      </c>
      <c r="B58" s="639">
        <f>SUMIF(Equipment!$C$9:$C$58,A58,Equipment!Q$9:Q$58)</f>
        <v>0</v>
      </c>
      <c r="C58" s="639">
        <f>SUMIF(Equipment!$C$9:$C$58,A58,Equipment!R$9:R$58)</f>
        <v>0</v>
      </c>
      <c r="D58" s="639">
        <f>SUMIF(Equipment!$C$9:$C$58,A58,Equipment!S$9:S$58)</f>
        <v>0</v>
      </c>
      <c r="E58" s="639">
        <f>SUMIF(Equipment!$C$9:$C$58,A58,Equipment!T$9:T$58)</f>
        <v>0</v>
      </c>
      <c r="F58" s="639">
        <f>SUMIF(Equipment!$C$9:$C$58,A58,Equipment!U$9:U$58)</f>
        <v>0</v>
      </c>
      <c r="G58" s="639">
        <f>SUMIF(Equipment!$C$9:$C$58,A58,Equipment!V$9:V$58)</f>
        <v>0</v>
      </c>
    </row>
    <row r="59" spans="1:7">
      <c r="A59" s="245"/>
      <c r="B59" s="639">
        <f>SUMIF(Equipment!$C$9:$C$58,A59,Equipment!Q$9:Q$58)</f>
        <v>0</v>
      </c>
      <c r="C59" s="639">
        <f>SUMIF(Equipment!$C$9:$C$58,A59,Equipment!R$9:R$58)</f>
        <v>0</v>
      </c>
      <c r="D59" s="639">
        <f>SUMIF(Equipment!$C$9:$C$58,A59,Equipment!S$9:S$58)</f>
        <v>0</v>
      </c>
      <c r="E59" s="639">
        <f>SUMIF(Equipment!$C$9:$C$58,A59,Equipment!T$9:T$58)</f>
        <v>0</v>
      </c>
      <c r="F59" s="639">
        <f>SUMIF(Equipment!$C$9:$C$58,A59,Equipment!U$9:U$58)</f>
        <v>0</v>
      </c>
      <c r="G59" s="639">
        <f>SUMIF(Equipment!$C$9:$C$58,A59,Equipment!V$9:V$58)</f>
        <v>0</v>
      </c>
    </row>
    <row r="60" spans="1:7">
      <c r="A60" s="245"/>
      <c r="B60" s="639">
        <f>SUMIF(Equipment!$C$9:$C$58,A60,Equipment!Q$9:Q$58)</f>
        <v>0</v>
      </c>
      <c r="C60" s="639">
        <f>SUMIF(Equipment!$C$9:$C$58,A60,Equipment!R$9:R$58)</f>
        <v>0</v>
      </c>
      <c r="D60" s="639">
        <f>SUMIF(Equipment!$C$9:$C$58,A60,Equipment!S$9:S$58)</f>
        <v>0</v>
      </c>
      <c r="E60" s="639">
        <f>SUMIF(Equipment!$C$9:$C$58,A60,Equipment!T$9:T$58)</f>
        <v>0</v>
      </c>
      <c r="F60" s="639">
        <f>SUMIF(Equipment!$C$9:$C$58,A60,Equipment!U$9:U$58)</f>
        <v>0</v>
      </c>
      <c r="G60" s="639">
        <f>SUMIF(Equipment!$C$9:$C$58,A60,Equipment!V$9:V$58)</f>
        <v>0</v>
      </c>
    </row>
    <row r="61" spans="1:7">
      <c r="A61" s="245"/>
      <c r="B61" s="639">
        <f>SUMIF(Equipment!$C$9:$C$58,A61,Equipment!Q$9:Q$58)</f>
        <v>0</v>
      </c>
      <c r="C61" s="639">
        <f>SUMIF(Equipment!$C$9:$C$58,A61,Equipment!R$9:R$58)</f>
        <v>0</v>
      </c>
      <c r="D61" s="639">
        <f>SUMIF(Equipment!$C$9:$C$58,A61,Equipment!S$9:S$58)</f>
        <v>0</v>
      </c>
      <c r="E61" s="639">
        <f>SUMIF(Equipment!$C$9:$C$58,A61,Equipment!T$9:T$58)</f>
        <v>0</v>
      </c>
      <c r="F61" s="639">
        <f>SUMIF(Equipment!$C$9:$C$58,A61,Equipment!U$9:U$58)</f>
        <v>0</v>
      </c>
      <c r="G61" s="639">
        <f>SUMIF(Equipment!$C$9:$C$58,A61,Equipment!V$9:V$58)</f>
        <v>0</v>
      </c>
    </row>
    <row r="62" spans="1:7">
      <c r="A62" s="245"/>
      <c r="B62" s="639">
        <f>SUMIF(Equipment!$C$9:$C$58,A62,Equipment!Q$9:Q$58)</f>
        <v>0</v>
      </c>
      <c r="C62" s="639">
        <f>SUMIF(Equipment!$C$9:$C$58,A62,Equipment!R$9:R$58)</f>
        <v>0</v>
      </c>
      <c r="D62" s="639">
        <f>SUMIF(Equipment!$C$9:$C$58,A62,Equipment!S$9:S$58)</f>
        <v>0</v>
      </c>
      <c r="E62" s="639">
        <f>SUMIF(Equipment!$C$9:$C$58,A62,Equipment!T$9:T$58)</f>
        <v>0</v>
      </c>
      <c r="F62" s="639">
        <f>SUMIF(Equipment!$C$9:$C$58,A62,Equipment!U$9:U$58)</f>
        <v>0</v>
      </c>
      <c r="G62" s="639">
        <f>SUMIF(Equipment!$C$9:$C$58,A62,Equipment!V$9:V$58)</f>
        <v>0</v>
      </c>
    </row>
    <row r="63" spans="1:7" ht="15" thickBot="1">
      <c r="A63" s="245"/>
      <c r="B63" s="639">
        <f>SUMIF(Equipment!$C$9:$C$58,A63,Equipment!Q$9:Q$58)</f>
        <v>0</v>
      </c>
      <c r="C63" s="639">
        <f>SUMIF(Equipment!$C$9:$C$58,A63,Equipment!R$9:R$58)</f>
        <v>0</v>
      </c>
      <c r="D63" s="639">
        <f>SUMIF(Equipment!$C$9:$C$58,A63,Equipment!S$9:S$58)</f>
        <v>0</v>
      </c>
      <c r="E63" s="639">
        <f>SUMIF(Equipment!$C$9:$C$58,A63,Equipment!T$9:T$58)</f>
        <v>0</v>
      </c>
      <c r="F63" s="639">
        <f>SUMIF(Equipment!$C$9:$C$58,A63,Equipment!U$9:U$58)</f>
        <v>0</v>
      </c>
      <c r="G63" s="639">
        <f>SUMIF(Equipment!$C$9:$C$58,A63,Equipment!V$9:V$58)</f>
        <v>0</v>
      </c>
    </row>
    <row r="64" spans="1:7" ht="15" thickBot="1">
      <c r="A64" s="245"/>
      <c r="B64" s="719">
        <f>SUM(B58:B63)</f>
        <v>0</v>
      </c>
      <c r="C64" s="710">
        <f t="shared" ref="C64:G64" si="35">SUM(C58:C63)</f>
        <v>0</v>
      </c>
      <c r="D64" s="710">
        <f t="shared" si="35"/>
        <v>0</v>
      </c>
      <c r="E64" s="710">
        <f t="shared" si="35"/>
        <v>0</v>
      </c>
      <c r="F64" s="710">
        <f t="shared" si="35"/>
        <v>0</v>
      </c>
      <c r="G64" s="711">
        <f t="shared" si="35"/>
        <v>0</v>
      </c>
    </row>
    <row r="65" spans="1:7">
      <c r="A65" s="245"/>
      <c r="B65" s="639"/>
      <c r="C65" s="639"/>
      <c r="D65" s="639"/>
      <c r="E65" s="639"/>
      <c r="F65" s="639"/>
      <c r="G65" s="639"/>
    </row>
    <row r="66" spans="1:7" ht="15" thickBot="1">
      <c r="A66" s="436" t="s">
        <v>1469</v>
      </c>
      <c r="B66" s="718"/>
      <c r="C66" s="718"/>
      <c r="D66" s="718"/>
      <c r="E66" s="718"/>
      <c r="F66" s="718"/>
      <c r="G66" s="718"/>
    </row>
    <row r="67" spans="1:7" ht="15" thickBot="1">
      <c r="A67" s="4" t="s">
        <v>1375</v>
      </c>
      <c r="B67" s="719">
        <f>Other_Recurrent_Costs!N60</f>
        <v>0</v>
      </c>
      <c r="C67" s="710">
        <f>Other_Recurrent_Costs!O60</f>
        <v>0</v>
      </c>
      <c r="D67" s="710">
        <f>Other_Recurrent_Costs!P60</f>
        <v>0</v>
      </c>
      <c r="E67" s="710">
        <f>Other_Recurrent_Costs!Q60</f>
        <v>0</v>
      </c>
      <c r="F67" s="710">
        <f>Other_Recurrent_Costs!R60</f>
        <v>0</v>
      </c>
      <c r="G67" s="711">
        <f>Other_Recurrent_Costs!S60</f>
        <v>0</v>
      </c>
    </row>
    <row r="68" spans="1:7">
      <c r="B68" s="516"/>
      <c r="C68" s="516"/>
      <c r="D68" s="516"/>
      <c r="E68" s="516"/>
      <c r="F68" s="516"/>
      <c r="G68" s="516"/>
    </row>
    <row r="69" spans="1:7">
      <c r="B69" s="516"/>
      <c r="C69" s="516"/>
      <c r="D69" s="516"/>
      <c r="E69" s="516"/>
      <c r="F69" s="516"/>
      <c r="G69" s="516"/>
    </row>
    <row r="70" spans="1:7">
      <c r="A70" s="436" t="s">
        <v>1494</v>
      </c>
      <c r="B70" s="718"/>
      <c r="C70" s="718"/>
      <c r="D70" s="718"/>
      <c r="E70" s="718"/>
      <c r="F70" s="718"/>
      <c r="G70" s="718"/>
    </row>
    <row r="71" spans="1:7">
      <c r="A71" s="8" t="s">
        <v>1377</v>
      </c>
      <c r="B71" s="707">
        <f>SUMIF(Start_Up_Capital_Costs!$C$8:$C$57,"Start-up",Start_Up_Capital_Costs!Q$8:Q$57)</f>
        <v>0</v>
      </c>
      <c r="C71" s="707">
        <f>SUMIF(Start_Up_Capital_Costs!$C$8:$C$57,"Start-up",Start_Up_Capital_Costs!R$8:R$57)</f>
        <v>0</v>
      </c>
      <c r="D71" s="707">
        <f>SUMIF(Start_Up_Capital_Costs!$C$8:$C$57,"Start-up",Start_Up_Capital_Costs!S$8:S$57)</f>
        <v>0</v>
      </c>
      <c r="E71" s="707">
        <f>SUMIF(Start_Up_Capital_Costs!$C$8:$C$57,"Start-up",Start_Up_Capital_Costs!T$8:T$57)</f>
        <v>0</v>
      </c>
      <c r="F71" s="707">
        <f>SUMIF(Start_Up_Capital_Costs!$C$8:$C$57,"Start-up",Start_Up_Capital_Costs!U$8:U$57)</f>
        <v>0</v>
      </c>
      <c r="G71" s="708">
        <f>SUMIF(Start_Up_Capital_Costs!$C$8:$C$57,"Start-up",Start_Up_Capital_Costs!V$8:V$57)</f>
        <v>0</v>
      </c>
    </row>
    <row r="72" spans="1:7" ht="15" thickBot="1">
      <c r="A72" s="8" t="s">
        <v>1376</v>
      </c>
      <c r="B72" s="635">
        <f>SUMIF(Start_Up_Capital_Costs!$C$8:$C$57,"Capital",Start_Up_Capital_Costs!Q$8:Q$57)</f>
        <v>0</v>
      </c>
      <c r="C72" s="635">
        <f>SUMIF(Start_Up_Capital_Costs!$C$8:$C$57,"Capital",Start_Up_Capital_Costs!R$8:R$57)</f>
        <v>0</v>
      </c>
      <c r="D72" s="635">
        <f>SUMIF(Start_Up_Capital_Costs!$C$8:$C$57,"Capital",Start_Up_Capital_Costs!S$8:S$57)</f>
        <v>0</v>
      </c>
      <c r="E72" s="635">
        <f>SUMIF(Start_Up_Capital_Costs!$C$8:$C$57,"Capital",Start_Up_Capital_Costs!T$8:T$57)</f>
        <v>0</v>
      </c>
      <c r="F72" s="635">
        <f>SUMIF(Start_Up_Capital_Costs!$C$8:$C$57,"Capital",Start_Up_Capital_Costs!U$8:U$57)</f>
        <v>0</v>
      </c>
      <c r="G72" s="944">
        <f>SUMIF(Start_Up_Capital_Costs!$C$8:$C$57,"Capital",Start_Up_Capital_Costs!V$8:V$57)</f>
        <v>0</v>
      </c>
    </row>
    <row r="73" spans="1:7" ht="15" thickBot="1">
      <c r="A73" s="515" t="s">
        <v>1378</v>
      </c>
      <c r="B73" s="710">
        <f t="shared" ref="B73:G73" si="36">SUM(B71:B72)</f>
        <v>0</v>
      </c>
      <c r="C73" s="710">
        <f t="shared" si="36"/>
        <v>0</v>
      </c>
      <c r="D73" s="710">
        <f t="shared" si="36"/>
        <v>0</v>
      </c>
      <c r="E73" s="710">
        <f t="shared" si="36"/>
        <v>0</v>
      </c>
      <c r="F73" s="710">
        <f t="shared" si="36"/>
        <v>0</v>
      </c>
      <c r="G73" s="711">
        <f t="shared" si="36"/>
        <v>0</v>
      </c>
    </row>
    <row r="74" spans="1:7">
      <c r="B74" s="516"/>
      <c r="C74" s="516"/>
      <c r="D74" s="516"/>
      <c r="E74" s="516"/>
      <c r="F74" s="516"/>
      <c r="G74" s="516"/>
    </row>
    <row r="75" spans="1:7">
      <c r="B75" s="516"/>
      <c r="C75" s="516"/>
      <c r="D75" s="516"/>
      <c r="E75" s="516"/>
      <c r="F75" s="516"/>
      <c r="G75" s="516"/>
    </row>
    <row r="76" spans="1:7">
      <c r="B76" s="516"/>
      <c r="C76" s="516"/>
      <c r="D76" s="516"/>
      <c r="E76" s="516"/>
      <c r="F76" s="516"/>
      <c r="G76" s="516"/>
    </row>
    <row r="77" spans="1:7">
      <c r="B77" s="516"/>
      <c r="C77" s="516"/>
      <c r="D77" s="516"/>
      <c r="E77" s="516"/>
      <c r="F77" s="516"/>
      <c r="G77" s="516"/>
    </row>
    <row r="78" spans="1:7">
      <c r="B78" s="516"/>
      <c r="C78" s="516"/>
      <c r="D78" s="516"/>
      <c r="E78" s="516"/>
      <c r="F78" s="516"/>
      <c r="G78" s="516"/>
    </row>
    <row r="79" spans="1:7">
      <c r="B79" s="516"/>
      <c r="C79" s="516"/>
      <c r="D79" s="516"/>
      <c r="E79" s="516"/>
      <c r="F79" s="516"/>
      <c r="G79" s="516"/>
    </row>
    <row r="80" spans="1:7">
      <c r="B80" s="516"/>
      <c r="C80" s="516"/>
      <c r="D80" s="516"/>
      <c r="E80" s="516"/>
      <c r="F80" s="516"/>
      <c r="G80" s="516"/>
    </row>
    <row r="81" spans="2:7">
      <c r="B81" s="516"/>
      <c r="C81" s="516"/>
      <c r="D81" s="516"/>
      <c r="E81" s="516"/>
      <c r="F81" s="516"/>
      <c r="G81" s="516"/>
    </row>
    <row r="82" spans="2:7">
      <c r="B82" s="516"/>
      <c r="C82" s="516"/>
      <c r="D82" s="516"/>
      <c r="E82" s="516"/>
      <c r="F82" s="516"/>
      <c r="G82" s="516"/>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BH108"/>
  <sheetViews>
    <sheetView zoomScale="90" zoomScaleNormal="90" workbookViewId="0">
      <pane xSplit="2" ySplit="5" topLeftCell="AD6" activePane="bottomRight" state="frozen"/>
      <selection activeCell="E12" sqref="E12"/>
      <selection pane="topRight" activeCell="E12" sqref="E12"/>
      <selection pane="bottomLeft" activeCell="E12" sqref="E12"/>
      <selection pane="bottomRight" activeCell="E12" sqref="E12"/>
    </sheetView>
  </sheetViews>
  <sheetFormatPr baseColWidth="10" defaultColWidth="8.88671875" defaultRowHeight="14.4"/>
  <cols>
    <col min="1" max="1" width="3.77734375" customWidth="1"/>
    <col min="2" max="2" width="32.33203125" style="4" bestFit="1" customWidth="1"/>
    <col min="3" max="3" width="12.44140625" customWidth="1"/>
    <col min="4" max="4" width="11.33203125" customWidth="1"/>
    <col min="5" max="5" width="20.44140625" bestFit="1" customWidth="1"/>
    <col min="6" max="11" width="8.77734375" bestFit="1" customWidth="1"/>
    <col min="13" max="13" width="8.77734375" bestFit="1" customWidth="1"/>
    <col min="14" max="14" width="13.5546875" customWidth="1"/>
    <col min="15" max="15" width="10" customWidth="1"/>
    <col min="16" max="16" width="11.21875" customWidth="1"/>
    <col min="17" max="17" width="10.44140625" customWidth="1"/>
    <col min="18" max="18" width="10.77734375" customWidth="1"/>
    <col min="20" max="20" width="8.77734375" bestFit="1" customWidth="1"/>
    <col min="21" max="21" width="11.109375" customWidth="1"/>
    <col min="22" max="22" width="12.44140625" customWidth="1"/>
    <col min="23" max="25" width="8.77734375" bestFit="1" customWidth="1"/>
    <col min="27" max="27" width="15.5546875" customWidth="1"/>
    <col min="28" max="32" width="14.88671875" bestFit="1" customWidth="1"/>
    <col min="34" max="34" width="16.6640625" customWidth="1"/>
    <col min="35" max="39" width="17.33203125" bestFit="1" customWidth="1"/>
    <col min="41" max="41" width="16.33203125" bestFit="1" customWidth="1"/>
    <col min="42" max="46" width="17.33203125" bestFit="1" customWidth="1"/>
    <col min="48" max="53" width="16.33203125" bestFit="1" customWidth="1"/>
    <col min="55" max="60" width="8.77734375" bestFit="1" customWidth="1"/>
  </cols>
  <sheetData>
    <row r="1" spans="1:60" s="318" customFormat="1" ht="24" customHeight="1">
      <c r="A1" s="314" t="str">
        <f>"DETAILED PROGRAM COSTS PER SERVICE ("&amp;currency_enter&amp;")"</f>
        <v>DETAILED PROGRAM COSTS PER SERVICE ()</v>
      </c>
      <c r="K1" s="332"/>
      <c r="L1" s="333"/>
      <c r="M1" s="333"/>
    </row>
    <row r="2" spans="1:60" s="215" customFormat="1" ht="18">
      <c r="A2" s="50" t="s">
        <v>598</v>
      </c>
      <c r="K2" s="216"/>
      <c r="L2" s="217"/>
      <c r="M2" s="217"/>
    </row>
    <row r="3" spans="1:60">
      <c r="M3" s="454"/>
      <c r="N3" s="454"/>
      <c r="O3" s="454"/>
      <c r="P3" s="454"/>
      <c r="Q3" s="454"/>
      <c r="R3" s="454"/>
    </row>
    <row r="4" spans="1:60">
      <c r="F4" s="1087" t="str">
        <f>"RECURRENT COST PER SERVICE ("&amp;national_currency&amp;")"</f>
        <v>RECURRENT COST PER SERVICE (0)</v>
      </c>
      <c r="G4" s="1087"/>
      <c r="H4" s="1087"/>
      <c r="I4" s="1087"/>
      <c r="J4" s="1087"/>
      <c r="K4" s="1087"/>
      <c r="M4" s="1087" t="str">
        <f>"DIRECT SALARY COST PER SERVICE ("&amp;national_currency&amp;")"</f>
        <v>DIRECT SALARY COST PER SERVICE (0)</v>
      </c>
      <c r="N4" s="1087"/>
      <c r="O4" s="1087"/>
      <c r="P4" s="1087"/>
      <c r="Q4" s="1087"/>
      <c r="R4" s="1087"/>
      <c r="T4" s="1087" t="s">
        <v>1418</v>
      </c>
      <c r="U4" s="1087"/>
      <c r="V4" s="1087"/>
      <c r="W4" s="1087"/>
      <c r="X4" s="1087"/>
      <c r="Y4" s="1087"/>
      <c r="AA4" s="1087" t="s">
        <v>1414</v>
      </c>
      <c r="AB4" s="1087"/>
      <c r="AC4" s="1087"/>
      <c r="AD4" s="1087"/>
      <c r="AE4" s="1087"/>
      <c r="AF4" s="1087"/>
      <c r="AH4" s="1087" t="s">
        <v>1415</v>
      </c>
      <c r="AI4" s="1087"/>
      <c r="AJ4" s="1087"/>
      <c r="AK4" s="1087"/>
      <c r="AL4" s="1087"/>
      <c r="AO4" s="1087" t="s">
        <v>1416</v>
      </c>
      <c r="AP4" s="1087"/>
      <c r="AQ4" s="1087"/>
      <c r="AR4" s="1087"/>
      <c r="AS4" s="1087"/>
      <c r="AT4" s="1087"/>
      <c r="AV4" s="1087" t="s">
        <v>1470</v>
      </c>
      <c r="AW4" s="1087"/>
      <c r="AX4" s="1087"/>
      <c r="AY4" s="1087"/>
      <c r="AZ4" s="1087"/>
      <c r="BA4" s="1087"/>
      <c r="BC4" s="1087" t="s">
        <v>1417</v>
      </c>
      <c r="BD4" s="1087"/>
      <c r="BE4" s="1087"/>
      <c r="BF4" s="1087"/>
      <c r="BG4" s="1087"/>
      <c r="BH4" s="1087"/>
    </row>
    <row r="5" spans="1:60">
      <c r="C5" s="4" t="s">
        <v>0</v>
      </c>
      <c r="D5" s="4" t="s">
        <v>1396</v>
      </c>
      <c r="E5" s="579" t="s">
        <v>1381</v>
      </c>
      <c r="F5" s="245">
        <f>baseline_year</f>
        <v>0</v>
      </c>
      <c r="G5" s="245">
        <f>baseline_year+1</f>
        <v>1</v>
      </c>
      <c r="H5" s="245">
        <f>G5+1</f>
        <v>2</v>
      </c>
      <c r="I5" s="245">
        <f>H5+1</f>
        <v>3</v>
      </c>
      <c r="J5" s="245">
        <f>I5+1</f>
        <v>4</v>
      </c>
      <c r="K5" s="245">
        <f>J5+1</f>
        <v>5</v>
      </c>
      <c r="M5" s="245">
        <f>baseline_year</f>
        <v>0</v>
      </c>
      <c r="N5" s="245">
        <f>baseline_year+1</f>
        <v>1</v>
      </c>
      <c r="O5" s="245">
        <f>N5+1</f>
        <v>2</v>
      </c>
      <c r="P5" s="245">
        <f>O5+1</f>
        <v>3</v>
      </c>
      <c r="Q5" s="245">
        <f>P5+1</f>
        <v>4</v>
      </c>
      <c r="R5" s="245">
        <f>Q5+1</f>
        <v>5</v>
      </c>
      <c r="T5" s="245">
        <f>baseline_year</f>
        <v>0</v>
      </c>
      <c r="U5" s="245">
        <f>baseline_year+1</f>
        <v>1</v>
      </c>
      <c r="V5" s="245">
        <f>U5+1</f>
        <v>2</v>
      </c>
      <c r="W5" s="245">
        <f>V5+1</f>
        <v>3</v>
      </c>
      <c r="X5" s="245">
        <f>W5+1</f>
        <v>4</v>
      </c>
      <c r="Y5" s="245">
        <f>X5+1</f>
        <v>5</v>
      </c>
      <c r="AA5" s="245">
        <f>baseline_year</f>
        <v>0</v>
      </c>
      <c r="AB5" s="245">
        <f>baseline_year+1</f>
        <v>1</v>
      </c>
      <c r="AC5" s="245">
        <f>AB5+1</f>
        <v>2</v>
      </c>
      <c r="AD5" s="245">
        <f>AC5+1</f>
        <v>3</v>
      </c>
      <c r="AE5" s="245">
        <f>AD5+1</f>
        <v>4</v>
      </c>
      <c r="AF5" s="245">
        <f>AE5+1</f>
        <v>5</v>
      </c>
      <c r="AH5" s="245">
        <f>baseline_year</f>
        <v>0</v>
      </c>
      <c r="AI5" s="245">
        <f>baseline_year+1</f>
        <v>1</v>
      </c>
      <c r="AJ5" s="245">
        <f>AI5+1</f>
        <v>2</v>
      </c>
      <c r="AK5" s="245">
        <f>AJ5+1</f>
        <v>3</v>
      </c>
      <c r="AL5" s="245">
        <f>AK5+1</f>
        <v>4</v>
      </c>
      <c r="AM5" s="245">
        <f>AL5+1</f>
        <v>5</v>
      </c>
      <c r="AO5" s="245">
        <f>baseline_year</f>
        <v>0</v>
      </c>
      <c r="AP5" s="245">
        <f>baseline_year+1</f>
        <v>1</v>
      </c>
      <c r="AQ5" s="245">
        <f>AP5+1</f>
        <v>2</v>
      </c>
      <c r="AR5" s="245">
        <f>AQ5+1</f>
        <v>3</v>
      </c>
      <c r="AS5" s="245">
        <f>AR5+1</f>
        <v>4</v>
      </c>
      <c r="AT5" s="245">
        <f>AS5+1</f>
        <v>5</v>
      </c>
      <c r="AV5" s="245">
        <f>baseline_year</f>
        <v>0</v>
      </c>
      <c r="AW5" s="245">
        <f>baseline_year+1</f>
        <v>1</v>
      </c>
      <c r="AX5" s="245">
        <f>AW5+1</f>
        <v>2</v>
      </c>
      <c r="AY5" s="245">
        <f>AX5+1</f>
        <v>3</v>
      </c>
      <c r="AZ5" s="245">
        <f>AY5+1</f>
        <v>4</v>
      </c>
      <c r="BA5" s="245">
        <f>AZ5+1</f>
        <v>5</v>
      </c>
      <c r="BC5" s="245">
        <f>baseline_year</f>
        <v>0</v>
      </c>
      <c r="BD5" s="245">
        <f>baseline_year+1</f>
        <v>1</v>
      </c>
      <c r="BE5" s="245">
        <f>BD5+1</f>
        <v>2</v>
      </c>
      <c r="BF5" s="245">
        <f>BE5+1</f>
        <v>3</v>
      </c>
      <c r="BG5" s="245">
        <f>BF5+1</f>
        <v>4</v>
      </c>
      <c r="BH5" s="245">
        <f>BG5+1</f>
        <v>5</v>
      </c>
    </row>
    <row r="6" spans="1:60">
      <c r="A6" s="578">
        <v>1</v>
      </c>
      <c r="B6" s="4">
        <f>Summary_TG!B9</f>
        <v>0</v>
      </c>
      <c r="C6" s="4">
        <f>Summary_TG!C9</f>
        <v>0</v>
      </c>
      <c r="D6">
        <f>Summary_Services!E6</f>
        <v>0</v>
      </c>
      <c r="E6">
        <f>Summary_TG!G9</f>
        <v>0</v>
      </c>
      <c r="F6" s="517">
        <f>M6+T6</f>
        <v>0</v>
      </c>
      <c r="G6" s="517">
        <f t="shared" ref="G6:K6" si="0">N6+U6</f>
        <v>0</v>
      </c>
      <c r="H6" s="517">
        <f t="shared" si="0"/>
        <v>0</v>
      </c>
      <c r="I6" s="517">
        <f t="shared" si="0"/>
        <v>0</v>
      </c>
      <c r="J6" s="517">
        <f t="shared" si="0"/>
        <v>0</v>
      </c>
      <c r="K6" s="517">
        <f t="shared" si="0"/>
        <v>0</v>
      </c>
      <c r="L6" s="517"/>
      <c r="M6" s="517">
        <f>IF($B6=0,0,(((VLOOKUP(Summary_Services!$F6,lookup_salaries,8,FALSE))*$E6)))</f>
        <v>0</v>
      </c>
      <c r="N6" s="517">
        <f>IF($B6=0,0,(((VLOOKUP(Summary_Services!$F6,lookup_salaries,8,FALSE))*$E6)))</f>
        <v>0</v>
      </c>
      <c r="O6" s="517">
        <f>IF($B6=0,0,(((VLOOKUP(Summary_Services!$F6,lookup_salaries,8,FALSE))*$E6)))</f>
        <v>0</v>
      </c>
      <c r="P6" s="517">
        <f>IF($B6=0,0,(((VLOOKUP(Summary_Services!$F6,lookup_salaries,8,FALSE))*$E6)))</f>
        <v>0</v>
      </c>
      <c r="Q6" s="517">
        <f>IF($B6=0,0,(((VLOOKUP(Summary_Services!$F6,lookup_salaries,8,FALSE))*$E6)))</f>
        <v>0</v>
      </c>
      <c r="R6" s="517">
        <f>IF($B6=0,0,(((VLOOKUP(Summary_Services!$F6,lookup_salaries,8,FALSE))*$E6)))</f>
        <v>0</v>
      </c>
      <c r="S6" s="517"/>
      <c r="T6" s="517">
        <f>IF(Summary_Services!Y6=0,0,Summary_TG!Q9/Summary_Services!Y6)</f>
        <v>0</v>
      </c>
      <c r="U6" s="517">
        <f>IF(Summary_Services!Z6=0,0,Summary_TG!R9/Summary_Services!Z6)</f>
        <v>0</v>
      </c>
      <c r="V6" s="517">
        <f>IF(Summary_Services!AA6=0,0,Summary_TG!S9/Summary_Services!AA6)</f>
        <v>0</v>
      </c>
      <c r="W6" s="517">
        <f>IF(Summary_Services!AB6=0,0,Summary_TG!T9/Summary_Services!AB6)</f>
        <v>0</v>
      </c>
      <c r="X6" s="517">
        <f>IF(Summary_Services!AC6=0,0,Summary_TG!U9/Summary_Services!AC6)</f>
        <v>0</v>
      </c>
      <c r="Y6" s="517">
        <f>IF(Summary_Services!AD6=0,0,Summary_TG!V9/Summary_Services!AD6)</f>
        <v>0</v>
      </c>
      <c r="Z6" s="517"/>
      <c r="AA6" s="517">
        <f>Summary_Services!R6</f>
        <v>0</v>
      </c>
      <c r="AB6" s="517">
        <f>Summary_Services!S6</f>
        <v>0</v>
      </c>
      <c r="AC6" s="517">
        <f>Summary_Services!T6</f>
        <v>0</v>
      </c>
      <c r="AD6" s="517">
        <f>Summary_Services!U6</f>
        <v>0</v>
      </c>
      <c r="AE6" s="517">
        <f>Summary_Services!V6</f>
        <v>0</v>
      </c>
      <c r="AF6" s="517">
        <f>Summary_Services!W6</f>
        <v>0</v>
      </c>
      <c r="AG6" s="517"/>
      <c r="AH6" s="517">
        <f>+AA6*F6</f>
        <v>0</v>
      </c>
      <c r="AI6" s="517">
        <f t="shared" ref="AI6:AM6" si="1">+AB6*G6</f>
        <v>0</v>
      </c>
      <c r="AJ6" s="517">
        <f t="shared" si="1"/>
        <v>0</v>
      </c>
      <c r="AK6" s="517">
        <f t="shared" si="1"/>
        <v>0</v>
      </c>
      <c r="AL6" s="517">
        <f t="shared" si="1"/>
        <v>0</v>
      </c>
      <c r="AM6" s="517">
        <f t="shared" si="1"/>
        <v>0</v>
      </c>
      <c r="AN6" s="517"/>
      <c r="AO6" s="517">
        <f>+AA6*M6</f>
        <v>0</v>
      </c>
      <c r="AP6" s="517">
        <f t="shared" ref="AP6:AT6" si="2">+AB6*N6</f>
        <v>0</v>
      </c>
      <c r="AQ6" s="517">
        <f t="shared" si="2"/>
        <v>0</v>
      </c>
      <c r="AR6" s="517">
        <f t="shared" si="2"/>
        <v>0</v>
      </c>
      <c r="AS6" s="517">
        <f t="shared" si="2"/>
        <v>0</v>
      </c>
      <c r="AT6" s="517">
        <f t="shared" si="2"/>
        <v>0</v>
      </c>
      <c r="AU6" s="517"/>
      <c r="AV6" s="517">
        <f>+AA6*T6</f>
        <v>0</v>
      </c>
      <c r="AW6" s="517">
        <f t="shared" ref="AW6:BA6" si="3">+AB6*U6</f>
        <v>0</v>
      </c>
      <c r="AX6" s="517">
        <f t="shared" si="3"/>
        <v>0</v>
      </c>
      <c r="AY6" s="517">
        <f t="shared" si="3"/>
        <v>0</v>
      </c>
      <c r="AZ6" s="517">
        <f t="shared" si="3"/>
        <v>0</v>
      </c>
      <c r="BA6" s="517">
        <f t="shared" si="3"/>
        <v>0</v>
      </c>
      <c r="BB6" s="517"/>
      <c r="BC6" s="517" t="e">
        <f>+AH6/Demography!C$10</f>
        <v>#DIV/0!</v>
      </c>
      <c r="BD6" s="517" t="e">
        <f>+AI6/Demography!D$10</f>
        <v>#DIV/0!</v>
      </c>
      <c r="BE6" s="517" t="e">
        <f>+AJ6/Demography!E$10</f>
        <v>#DIV/0!</v>
      </c>
      <c r="BF6" s="517" t="e">
        <f>+AK6/Demography!F$10</f>
        <v>#DIV/0!</v>
      </c>
      <c r="BG6" s="517" t="e">
        <f>+AL6/Demography!G$10</f>
        <v>#DIV/0!</v>
      </c>
      <c r="BH6" s="517" t="e">
        <f>+AM6/Demography!H$10</f>
        <v>#DIV/0!</v>
      </c>
    </row>
    <row r="7" spans="1:60">
      <c r="A7" s="578">
        <v>2</v>
      </c>
      <c r="B7" s="4">
        <f>Summary_TG!B10</f>
        <v>0</v>
      </c>
      <c r="C7" s="4">
        <f>Summary_TG!C10</f>
        <v>0</v>
      </c>
      <c r="D7">
        <f>Summary_Services!E7</f>
        <v>0</v>
      </c>
      <c r="E7">
        <f>Summary_TG!G10</f>
        <v>0</v>
      </c>
      <c r="F7" s="517">
        <f t="shared" ref="F7:F70" si="4">M7+T7</f>
        <v>0</v>
      </c>
      <c r="G7" s="517">
        <f t="shared" ref="G7:G70" si="5">N7+U7</f>
        <v>0</v>
      </c>
      <c r="H7" s="517">
        <f t="shared" ref="H7:H70" si="6">O7+V7</f>
        <v>0</v>
      </c>
      <c r="I7" s="517">
        <f t="shared" ref="I7:I70" si="7">P7+W7</f>
        <v>0</v>
      </c>
      <c r="J7" s="517">
        <f t="shared" ref="J7:J70" si="8">Q7+X7</f>
        <v>0</v>
      </c>
      <c r="K7" s="517">
        <f t="shared" ref="K7:K70" si="9">R7+Y7</f>
        <v>0</v>
      </c>
      <c r="L7" s="517"/>
      <c r="M7" s="517">
        <f>IF($B7=0,0,(((VLOOKUP(Summary_Services!$F7,lookup_salaries,8,FALSE))*$E7)))</f>
        <v>0</v>
      </c>
      <c r="N7" s="517">
        <f>IF($B7=0,0,(((VLOOKUP(Summary_Services!$F7,lookup_salaries,8,FALSE))*$E7)))</f>
        <v>0</v>
      </c>
      <c r="O7" s="517">
        <f>IF($B7=0,0,(((VLOOKUP(Summary_Services!$F7,lookup_salaries,8,FALSE))*$E7)))</f>
        <v>0</v>
      </c>
      <c r="P7" s="517">
        <f>IF($B7=0,0,(((VLOOKUP(Summary_Services!$F7,lookup_salaries,8,FALSE))*$E7)))</f>
        <v>0</v>
      </c>
      <c r="Q7" s="517">
        <f>IF($B7=0,0,(((VLOOKUP(Summary_Services!$F7,lookup_salaries,8,FALSE))*$E7)))</f>
        <v>0</v>
      </c>
      <c r="R7" s="517">
        <f>IF($B7=0,0,(((VLOOKUP(Summary_Services!$F7,lookup_salaries,8,FALSE))*$E7)))</f>
        <v>0</v>
      </c>
      <c r="S7" s="517"/>
      <c r="T7" s="517">
        <f>IF(Summary_Services!Y7=0,0,Summary_TG!Q10/Summary_Services!Y7)</f>
        <v>0</v>
      </c>
      <c r="U7" s="517">
        <f>IF(Summary_Services!Z7=0,0,Summary_TG!R10/Summary_Services!Z7)</f>
        <v>0</v>
      </c>
      <c r="V7" s="517">
        <f>IF(Summary_Services!AA7=0,0,Summary_TG!S10/Summary_Services!AA7)</f>
        <v>0</v>
      </c>
      <c r="W7" s="517">
        <f>IF(Summary_Services!AB7=0,0,Summary_TG!T10/Summary_Services!AB7)</f>
        <v>0</v>
      </c>
      <c r="X7" s="517">
        <f>IF(Summary_Services!AC7=0,0,Summary_TG!U10/Summary_Services!AC7)</f>
        <v>0</v>
      </c>
      <c r="Y7" s="517">
        <f>IF(Summary_Services!AD7=0,0,Summary_TG!V10/Summary_Services!AD7)</f>
        <v>0</v>
      </c>
      <c r="Z7" s="517"/>
      <c r="AA7" s="517">
        <f>Summary_Services!R7</f>
        <v>0</v>
      </c>
      <c r="AB7" s="517">
        <f>Summary_Services!S7</f>
        <v>0</v>
      </c>
      <c r="AC7" s="517">
        <f>Summary_Services!T7</f>
        <v>0</v>
      </c>
      <c r="AD7" s="517">
        <f>Summary_Services!U7</f>
        <v>0</v>
      </c>
      <c r="AE7" s="517">
        <f>Summary_Services!V7</f>
        <v>0</v>
      </c>
      <c r="AF7" s="517">
        <f>Summary_Services!W7</f>
        <v>0</v>
      </c>
      <c r="AG7" s="517"/>
      <c r="AH7" s="517">
        <f t="shared" ref="AH7:AH70" si="10">+AA7*F7</f>
        <v>0</v>
      </c>
      <c r="AI7" s="517">
        <f t="shared" ref="AI7:AI70" si="11">+AB7*G7</f>
        <v>0</v>
      </c>
      <c r="AJ7" s="517">
        <f t="shared" ref="AJ7:AJ70" si="12">+AC7*H7</f>
        <v>0</v>
      </c>
      <c r="AK7" s="517">
        <f t="shared" ref="AK7:AK70" si="13">+AD7*I7</f>
        <v>0</v>
      </c>
      <c r="AL7" s="517">
        <f t="shared" ref="AL7:AL70" si="14">+AE7*J7</f>
        <v>0</v>
      </c>
      <c r="AM7" s="517">
        <f t="shared" ref="AM7:AM70" si="15">+AF7*K7</f>
        <v>0</v>
      </c>
      <c r="AN7" s="517"/>
      <c r="AO7" s="517">
        <f t="shared" ref="AO7:AO70" si="16">+AA7*M7</f>
        <v>0</v>
      </c>
      <c r="AP7" s="517">
        <f t="shared" ref="AP7:AP70" si="17">+AB7*N7</f>
        <v>0</v>
      </c>
      <c r="AQ7" s="517">
        <f t="shared" ref="AQ7:AQ70" si="18">+AC7*O7</f>
        <v>0</v>
      </c>
      <c r="AR7" s="517">
        <f t="shared" ref="AR7:AR70" si="19">+AD7*P7</f>
        <v>0</v>
      </c>
      <c r="AS7" s="517">
        <f t="shared" ref="AS7:AS70" si="20">+AE7*Q7</f>
        <v>0</v>
      </c>
      <c r="AT7" s="517">
        <f t="shared" ref="AT7:AT70" si="21">+AF7*R7</f>
        <v>0</v>
      </c>
      <c r="AU7" s="517"/>
      <c r="AV7" s="517">
        <f t="shared" ref="AV7:AV70" si="22">+AA7*T7</f>
        <v>0</v>
      </c>
      <c r="AW7" s="517">
        <f t="shared" ref="AW7:AW70" si="23">+AB7*U7</f>
        <v>0</v>
      </c>
      <c r="AX7" s="517">
        <f t="shared" ref="AX7:AX70" si="24">+AC7*V7</f>
        <v>0</v>
      </c>
      <c r="AY7" s="517">
        <f t="shared" ref="AY7:AY70" si="25">+AD7*W7</f>
        <v>0</v>
      </c>
      <c r="AZ7" s="517">
        <f t="shared" ref="AZ7:AZ70" si="26">+AE7*X7</f>
        <v>0</v>
      </c>
      <c r="BA7" s="517">
        <f t="shared" ref="BA7:BA70" si="27">+AF7*Y7</f>
        <v>0</v>
      </c>
      <c r="BB7" s="517"/>
      <c r="BC7" s="517" t="e">
        <f>+AH7/Demography!C$10</f>
        <v>#DIV/0!</v>
      </c>
      <c r="BD7" s="517" t="e">
        <f>+AI7/Demography!D$10</f>
        <v>#DIV/0!</v>
      </c>
      <c r="BE7" s="517" t="e">
        <f>+AJ7/Demography!E$10</f>
        <v>#DIV/0!</v>
      </c>
      <c r="BF7" s="517" t="e">
        <f>+AK7/Demography!F$10</f>
        <v>#DIV/0!</v>
      </c>
      <c r="BG7" s="517" t="e">
        <f>+AL7/Demography!G$10</f>
        <v>#DIV/0!</v>
      </c>
      <c r="BH7" s="517" t="e">
        <f>+AM7/Demography!H$10</f>
        <v>#DIV/0!</v>
      </c>
    </row>
    <row r="8" spans="1:60">
      <c r="A8" s="578">
        <v>3</v>
      </c>
      <c r="B8" s="4">
        <f>Summary_TG!B11</f>
        <v>0</v>
      </c>
      <c r="C8" s="4">
        <f>Summary_TG!C11</f>
        <v>0</v>
      </c>
      <c r="D8">
        <f>Summary_Services!E8</f>
        <v>0</v>
      </c>
      <c r="E8">
        <f>Summary_TG!G11</f>
        <v>0</v>
      </c>
      <c r="F8" s="517">
        <f t="shared" si="4"/>
        <v>0</v>
      </c>
      <c r="G8" s="517">
        <f t="shared" si="5"/>
        <v>0</v>
      </c>
      <c r="H8" s="517">
        <f t="shared" si="6"/>
        <v>0</v>
      </c>
      <c r="I8" s="517">
        <f t="shared" si="7"/>
        <v>0</v>
      </c>
      <c r="J8" s="517">
        <f t="shared" si="8"/>
        <v>0</v>
      </c>
      <c r="K8" s="517">
        <f t="shared" si="9"/>
        <v>0</v>
      </c>
      <c r="L8" s="517"/>
      <c r="M8" s="517">
        <f>IF($B8=0,0,(((VLOOKUP(Summary_Services!$F8,lookup_salaries,8,FALSE))*$E8)))</f>
        <v>0</v>
      </c>
      <c r="N8" s="517">
        <f>IF($B8=0,0,(((VLOOKUP(Summary_Services!$F8,lookup_salaries,8,FALSE))*$E8)))</f>
        <v>0</v>
      </c>
      <c r="O8" s="517">
        <f>IF($B8=0,0,(((VLOOKUP(Summary_Services!$F8,lookup_salaries,8,FALSE))*$E8)))</f>
        <v>0</v>
      </c>
      <c r="P8" s="517">
        <f>IF($B8=0,0,(((VLOOKUP(Summary_Services!$F8,lookup_salaries,8,FALSE))*$E8)))</f>
        <v>0</v>
      </c>
      <c r="Q8" s="517">
        <f>IF($B8=0,0,(((VLOOKUP(Summary_Services!$F8,lookup_salaries,8,FALSE))*$E8)))</f>
        <v>0</v>
      </c>
      <c r="R8" s="517">
        <f>IF($B8=0,0,(((VLOOKUP(Summary_Services!$F8,lookup_salaries,8,FALSE))*$E8)))</f>
        <v>0</v>
      </c>
      <c r="S8" s="517"/>
      <c r="T8" s="517">
        <f>IF(Summary_Services!Y8=0,0,Summary_TG!Q11/Summary_Services!Y8)</f>
        <v>0</v>
      </c>
      <c r="U8" s="517">
        <f>IF(Summary_Services!Z8=0,0,Summary_TG!R11/Summary_Services!Z8)</f>
        <v>0</v>
      </c>
      <c r="V8" s="517">
        <f>IF(Summary_Services!AA8=0,0,Summary_TG!S11/Summary_Services!AA8)</f>
        <v>0</v>
      </c>
      <c r="W8" s="517">
        <f>IF(Summary_Services!AB8=0,0,Summary_TG!T11/Summary_Services!AB8)</f>
        <v>0</v>
      </c>
      <c r="X8" s="517">
        <f>IF(Summary_Services!AC8=0,0,Summary_TG!U11/Summary_Services!AC8)</f>
        <v>0</v>
      </c>
      <c r="Y8" s="517">
        <f>IF(Summary_Services!AD8=0,0,Summary_TG!V11/Summary_Services!AD8)</f>
        <v>0</v>
      </c>
      <c r="Z8" s="517"/>
      <c r="AA8" s="517">
        <f>Summary_Services!R8</f>
        <v>0</v>
      </c>
      <c r="AB8" s="517">
        <f>Summary_Services!S8</f>
        <v>0</v>
      </c>
      <c r="AC8" s="517">
        <f>Summary_Services!T8</f>
        <v>0</v>
      </c>
      <c r="AD8" s="517">
        <f>Summary_Services!U8</f>
        <v>0</v>
      </c>
      <c r="AE8" s="517">
        <f>Summary_Services!V8</f>
        <v>0</v>
      </c>
      <c r="AF8" s="517">
        <f>Summary_Services!W8</f>
        <v>0</v>
      </c>
      <c r="AG8" s="517"/>
      <c r="AH8" s="517">
        <f t="shared" si="10"/>
        <v>0</v>
      </c>
      <c r="AI8" s="517">
        <f t="shared" si="11"/>
        <v>0</v>
      </c>
      <c r="AJ8" s="517">
        <f t="shared" si="12"/>
        <v>0</v>
      </c>
      <c r="AK8" s="517">
        <f t="shared" si="13"/>
        <v>0</v>
      </c>
      <c r="AL8" s="517">
        <f t="shared" si="14"/>
        <v>0</v>
      </c>
      <c r="AM8" s="517">
        <f t="shared" si="15"/>
        <v>0</v>
      </c>
      <c r="AN8" s="517"/>
      <c r="AO8" s="517">
        <f t="shared" si="16"/>
        <v>0</v>
      </c>
      <c r="AP8" s="517">
        <f t="shared" si="17"/>
        <v>0</v>
      </c>
      <c r="AQ8" s="517">
        <f t="shared" si="18"/>
        <v>0</v>
      </c>
      <c r="AR8" s="517">
        <f t="shared" si="19"/>
        <v>0</v>
      </c>
      <c r="AS8" s="517">
        <f t="shared" si="20"/>
        <v>0</v>
      </c>
      <c r="AT8" s="517">
        <f t="shared" si="21"/>
        <v>0</v>
      </c>
      <c r="AU8" s="517"/>
      <c r="AV8" s="517">
        <f t="shared" si="22"/>
        <v>0</v>
      </c>
      <c r="AW8" s="517">
        <f t="shared" si="23"/>
        <v>0</v>
      </c>
      <c r="AX8" s="517">
        <f t="shared" si="24"/>
        <v>0</v>
      </c>
      <c r="AY8" s="517">
        <f t="shared" si="25"/>
        <v>0</v>
      </c>
      <c r="AZ8" s="517">
        <f t="shared" si="26"/>
        <v>0</v>
      </c>
      <c r="BA8" s="517">
        <f t="shared" si="27"/>
        <v>0</v>
      </c>
      <c r="BB8" s="517"/>
      <c r="BC8" s="517" t="e">
        <f>+AH8/Demography!C$10</f>
        <v>#DIV/0!</v>
      </c>
      <c r="BD8" s="517" t="e">
        <f>+AI8/Demography!D$10</f>
        <v>#DIV/0!</v>
      </c>
      <c r="BE8" s="517" t="e">
        <f>+AJ8/Demography!E$10</f>
        <v>#DIV/0!</v>
      </c>
      <c r="BF8" s="517" t="e">
        <f>+AK8/Demography!F$10</f>
        <v>#DIV/0!</v>
      </c>
      <c r="BG8" s="517" t="e">
        <f>+AL8/Demography!G$10</f>
        <v>#DIV/0!</v>
      </c>
      <c r="BH8" s="517" t="e">
        <f>+AM8/Demography!H$10</f>
        <v>#DIV/0!</v>
      </c>
    </row>
    <row r="9" spans="1:60">
      <c r="A9" s="578">
        <v>4</v>
      </c>
      <c r="B9" s="4">
        <f>Summary_TG!B12</f>
        <v>0</v>
      </c>
      <c r="C9" s="4">
        <f>Summary_TG!C12</f>
        <v>0</v>
      </c>
      <c r="D9">
        <f>Summary_Services!E9</f>
        <v>0</v>
      </c>
      <c r="E9">
        <f>Summary_TG!G12</f>
        <v>0</v>
      </c>
      <c r="F9" s="517">
        <f t="shared" si="4"/>
        <v>0</v>
      </c>
      <c r="G9" s="517">
        <f t="shared" si="5"/>
        <v>0</v>
      </c>
      <c r="H9" s="517">
        <f t="shared" si="6"/>
        <v>0</v>
      </c>
      <c r="I9" s="517">
        <f t="shared" si="7"/>
        <v>0</v>
      </c>
      <c r="J9" s="517">
        <f t="shared" si="8"/>
        <v>0</v>
      </c>
      <c r="K9" s="517">
        <f t="shared" si="9"/>
        <v>0</v>
      </c>
      <c r="L9" s="517"/>
      <c r="M9" s="517">
        <f>IF($B9=0,0,(((VLOOKUP(Summary_Services!$F9,lookup_salaries,8,FALSE))*$E9)))</f>
        <v>0</v>
      </c>
      <c r="N9" s="517">
        <f>IF($B9=0,0,(((VLOOKUP(Summary_Services!$F9,lookup_salaries,8,FALSE))*$E9)))</f>
        <v>0</v>
      </c>
      <c r="O9" s="517">
        <f>IF($B9=0,0,(((VLOOKUP(Summary_Services!$F9,lookup_salaries,8,FALSE))*$E9)))</f>
        <v>0</v>
      </c>
      <c r="P9" s="517">
        <f>IF($B9=0,0,(((VLOOKUP(Summary_Services!$F9,lookup_salaries,8,FALSE))*$E9)))</f>
        <v>0</v>
      </c>
      <c r="Q9" s="517">
        <f>IF($B9=0,0,(((VLOOKUP(Summary_Services!$F9,lookup_salaries,8,FALSE))*$E9)))</f>
        <v>0</v>
      </c>
      <c r="R9" s="517">
        <f>IF($B9=0,0,(((VLOOKUP(Summary_Services!$F9,lookup_salaries,8,FALSE))*$E9)))</f>
        <v>0</v>
      </c>
      <c r="S9" s="517"/>
      <c r="T9" s="517">
        <f>IF(Summary_Services!Y9=0,0,Summary_TG!Q12/Summary_Services!Y9)</f>
        <v>0</v>
      </c>
      <c r="U9" s="517">
        <f>IF(Summary_Services!Z9=0,0,Summary_TG!R12/Summary_Services!Z9)</f>
        <v>0</v>
      </c>
      <c r="V9" s="517">
        <f>IF(Summary_Services!AA9=0,0,Summary_TG!S12/Summary_Services!AA9)</f>
        <v>0</v>
      </c>
      <c r="W9" s="517">
        <f>IF(Summary_Services!AB9=0,0,Summary_TG!T12/Summary_Services!AB9)</f>
        <v>0</v>
      </c>
      <c r="X9" s="517">
        <f>IF(Summary_Services!AC9=0,0,Summary_TG!U12/Summary_Services!AC9)</f>
        <v>0</v>
      </c>
      <c r="Y9" s="517">
        <f>IF(Summary_Services!AD9=0,0,Summary_TG!V12/Summary_Services!AD9)</f>
        <v>0</v>
      </c>
      <c r="Z9" s="517"/>
      <c r="AA9" s="517">
        <f>Summary_Services!R9</f>
        <v>0</v>
      </c>
      <c r="AB9" s="517">
        <f>Summary_Services!S9</f>
        <v>0</v>
      </c>
      <c r="AC9" s="517">
        <f>Summary_Services!T9</f>
        <v>0</v>
      </c>
      <c r="AD9" s="517">
        <f>Summary_Services!U9</f>
        <v>0</v>
      </c>
      <c r="AE9" s="517">
        <f>Summary_Services!V9</f>
        <v>0</v>
      </c>
      <c r="AF9" s="517">
        <f>Summary_Services!W9</f>
        <v>0</v>
      </c>
      <c r="AG9" s="517"/>
      <c r="AH9" s="517">
        <f t="shared" si="10"/>
        <v>0</v>
      </c>
      <c r="AI9" s="517">
        <f t="shared" si="11"/>
        <v>0</v>
      </c>
      <c r="AJ9" s="517">
        <f t="shared" si="12"/>
        <v>0</v>
      </c>
      <c r="AK9" s="517">
        <f t="shared" si="13"/>
        <v>0</v>
      </c>
      <c r="AL9" s="517">
        <f t="shared" si="14"/>
        <v>0</v>
      </c>
      <c r="AM9" s="517">
        <f t="shared" si="15"/>
        <v>0</v>
      </c>
      <c r="AN9" s="517"/>
      <c r="AO9" s="517">
        <f t="shared" si="16"/>
        <v>0</v>
      </c>
      <c r="AP9" s="517">
        <f t="shared" si="17"/>
        <v>0</v>
      </c>
      <c r="AQ9" s="517">
        <f t="shared" si="18"/>
        <v>0</v>
      </c>
      <c r="AR9" s="517">
        <f t="shared" si="19"/>
        <v>0</v>
      </c>
      <c r="AS9" s="517">
        <f t="shared" si="20"/>
        <v>0</v>
      </c>
      <c r="AT9" s="517">
        <f t="shared" si="21"/>
        <v>0</v>
      </c>
      <c r="AU9" s="517"/>
      <c r="AV9" s="517">
        <f t="shared" si="22"/>
        <v>0</v>
      </c>
      <c r="AW9" s="517">
        <f t="shared" si="23"/>
        <v>0</v>
      </c>
      <c r="AX9" s="517">
        <f t="shared" si="24"/>
        <v>0</v>
      </c>
      <c r="AY9" s="517">
        <f t="shared" si="25"/>
        <v>0</v>
      </c>
      <c r="AZ9" s="517">
        <f t="shared" si="26"/>
        <v>0</v>
      </c>
      <c r="BA9" s="517">
        <f t="shared" si="27"/>
        <v>0</v>
      </c>
      <c r="BB9" s="517"/>
      <c r="BC9" s="517" t="e">
        <f>+AH9/Demography!C$10</f>
        <v>#DIV/0!</v>
      </c>
      <c r="BD9" s="517" t="e">
        <f>+AI9/Demography!D$10</f>
        <v>#DIV/0!</v>
      </c>
      <c r="BE9" s="517" t="e">
        <f>+AJ9/Demography!E$10</f>
        <v>#DIV/0!</v>
      </c>
      <c r="BF9" s="517" t="e">
        <f>+AK9/Demography!F$10</f>
        <v>#DIV/0!</v>
      </c>
      <c r="BG9" s="517" t="e">
        <f>+AL9/Demography!G$10</f>
        <v>#DIV/0!</v>
      </c>
      <c r="BH9" s="517" t="e">
        <f>+AM9/Demography!H$10</f>
        <v>#DIV/0!</v>
      </c>
    </row>
    <row r="10" spans="1:60">
      <c r="A10" s="578">
        <v>5</v>
      </c>
      <c r="B10" s="4">
        <f>Summary_TG!B13</f>
        <v>0</v>
      </c>
      <c r="C10" s="4">
        <f>Summary_TG!C13</f>
        <v>0</v>
      </c>
      <c r="D10">
        <f>Summary_Services!E10</f>
        <v>0</v>
      </c>
      <c r="E10">
        <f>Summary_TG!G13</f>
        <v>0</v>
      </c>
      <c r="F10" s="517">
        <f t="shared" si="4"/>
        <v>0</v>
      </c>
      <c r="G10" s="517">
        <f t="shared" si="5"/>
        <v>0</v>
      </c>
      <c r="H10" s="517">
        <f t="shared" si="6"/>
        <v>0</v>
      </c>
      <c r="I10" s="517">
        <f t="shared" si="7"/>
        <v>0</v>
      </c>
      <c r="J10" s="517">
        <f t="shared" si="8"/>
        <v>0</v>
      </c>
      <c r="K10" s="517">
        <f t="shared" si="9"/>
        <v>0</v>
      </c>
      <c r="L10" s="517"/>
      <c r="M10" s="517">
        <f>IF($B10=0,0,(((VLOOKUP(Summary_Services!$F10,lookup_salaries,8,FALSE))*$E10)))</f>
        <v>0</v>
      </c>
      <c r="N10" s="517">
        <f>IF($B10=0,0,(((VLOOKUP(Summary_Services!$F10,lookup_salaries,8,FALSE))*$E10)))</f>
        <v>0</v>
      </c>
      <c r="O10" s="517">
        <f>IF($B10=0,0,(((VLOOKUP(Summary_Services!$F10,lookup_salaries,8,FALSE))*$E10)))</f>
        <v>0</v>
      </c>
      <c r="P10" s="517">
        <f>IF($B10=0,0,(((VLOOKUP(Summary_Services!$F10,lookup_salaries,8,FALSE))*$E10)))</f>
        <v>0</v>
      </c>
      <c r="Q10" s="517">
        <f>IF($B10=0,0,(((VLOOKUP(Summary_Services!$F10,lookup_salaries,8,FALSE))*$E10)))</f>
        <v>0</v>
      </c>
      <c r="R10" s="517">
        <f>IF($B10=0,0,(((VLOOKUP(Summary_Services!$F10,lookup_salaries,8,FALSE))*$E10)))</f>
        <v>0</v>
      </c>
      <c r="S10" s="517"/>
      <c r="T10" s="517">
        <f>IF(Summary_Services!Y10=0,0,Summary_TG!Q13/Summary_Services!Y10)</f>
        <v>0</v>
      </c>
      <c r="U10" s="517">
        <f>IF(Summary_Services!Z10=0,0,Summary_TG!R13/Summary_Services!Z10)</f>
        <v>0</v>
      </c>
      <c r="V10" s="517">
        <f>IF(Summary_Services!AA10=0,0,Summary_TG!S13/Summary_Services!AA10)</f>
        <v>0</v>
      </c>
      <c r="W10" s="517">
        <f>IF(Summary_Services!AB10=0,0,Summary_TG!T13/Summary_Services!AB10)</f>
        <v>0</v>
      </c>
      <c r="X10" s="517">
        <f>IF(Summary_Services!AC10=0,0,Summary_TG!U13/Summary_Services!AC10)</f>
        <v>0</v>
      </c>
      <c r="Y10" s="517">
        <f>IF(Summary_Services!AD10=0,0,Summary_TG!V13/Summary_Services!AD10)</f>
        <v>0</v>
      </c>
      <c r="Z10" s="517"/>
      <c r="AA10" s="517">
        <f>Summary_Services!R10</f>
        <v>0</v>
      </c>
      <c r="AB10" s="517">
        <f>Summary_Services!S10</f>
        <v>0</v>
      </c>
      <c r="AC10" s="517">
        <f>Summary_Services!T10</f>
        <v>0</v>
      </c>
      <c r="AD10" s="517">
        <f>Summary_Services!U10</f>
        <v>0</v>
      </c>
      <c r="AE10" s="517">
        <f>Summary_Services!V10</f>
        <v>0</v>
      </c>
      <c r="AF10" s="517">
        <f>Summary_Services!W10</f>
        <v>0</v>
      </c>
      <c r="AG10" s="517"/>
      <c r="AH10" s="517">
        <f t="shared" si="10"/>
        <v>0</v>
      </c>
      <c r="AI10" s="517">
        <f t="shared" si="11"/>
        <v>0</v>
      </c>
      <c r="AJ10" s="517">
        <f t="shared" si="12"/>
        <v>0</v>
      </c>
      <c r="AK10" s="517">
        <f t="shared" si="13"/>
        <v>0</v>
      </c>
      <c r="AL10" s="517">
        <f t="shared" si="14"/>
        <v>0</v>
      </c>
      <c r="AM10" s="517">
        <f t="shared" si="15"/>
        <v>0</v>
      </c>
      <c r="AN10" s="517"/>
      <c r="AO10" s="517">
        <f t="shared" si="16"/>
        <v>0</v>
      </c>
      <c r="AP10" s="517">
        <f t="shared" si="17"/>
        <v>0</v>
      </c>
      <c r="AQ10" s="517">
        <f t="shared" si="18"/>
        <v>0</v>
      </c>
      <c r="AR10" s="517">
        <f t="shared" si="19"/>
        <v>0</v>
      </c>
      <c r="AS10" s="517">
        <f t="shared" si="20"/>
        <v>0</v>
      </c>
      <c r="AT10" s="517">
        <f t="shared" si="21"/>
        <v>0</v>
      </c>
      <c r="AU10" s="517"/>
      <c r="AV10" s="517">
        <f t="shared" si="22"/>
        <v>0</v>
      </c>
      <c r="AW10" s="517">
        <f t="shared" si="23"/>
        <v>0</v>
      </c>
      <c r="AX10" s="517">
        <f t="shared" si="24"/>
        <v>0</v>
      </c>
      <c r="AY10" s="517">
        <f t="shared" si="25"/>
        <v>0</v>
      </c>
      <c r="AZ10" s="517">
        <f t="shared" si="26"/>
        <v>0</v>
      </c>
      <c r="BA10" s="517">
        <f t="shared" si="27"/>
        <v>0</v>
      </c>
      <c r="BB10" s="517"/>
      <c r="BC10" s="517" t="e">
        <f>+AH10/Demography!C$10</f>
        <v>#DIV/0!</v>
      </c>
      <c r="BD10" s="517" t="e">
        <f>+AI10/Demography!D$10</f>
        <v>#DIV/0!</v>
      </c>
      <c r="BE10" s="517" t="e">
        <f>+AJ10/Demography!E$10</f>
        <v>#DIV/0!</v>
      </c>
      <c r="BF10" s="517" t="e">
        <f>+AK10/Demography!F$10</f>
        <v>#DIV/0!</v>
      </c>
      <c r="BG10" s="517" t="e">
        <f>+AL10/Demography!G$10</f>
        <v>#DIV/0!</v>
      </c>
      <c r="BH10" s="517" t="e">
        <f>+AM10/Demography!H$10</f>
        <v>#DIV/0!</v>
      </c>
    </row>
    <row r="11" spans="1:60">
      <c r="A11" s="578">
        <v>6</v>
      </c>
      <c r="B11" s="4">
        <f>Summary_TG!B14</f>
        <v>0</v>
      </c>
      <c r="C11" s="4">
        <f>Summary_TG!C14</f>
        <v>0</v>
      </c>
      <c r="D11">
        <f>Summary_Services!E11</f>
        <v>0</v>
      </c>
      <c r="E11">
        <f>Summary_TG!G14</f>
        <v>0</v>
      </c>
      <c r="F11" s="517">
        <f t="shared" si="4"/>
        <v>0</v>
      </c>
      <c r="G11" s="517">
        <f t="shared" si="5"/>
        <v>0</v>
      </c>
      <c r="H11" s="517">
        <f t="shared" si="6"/>
        <v>0</v>
      </c>
      <c r="I11" s="517">
        <f t="shared" si="7"/>
        <v>0</v>
      </c>
      <c r="J11" s="517">
        <f t="shared" si="8"/>
        <v>0</v>
      </c>
      <c r="K11" s="517">
        <f t="shared" si="9"/>
        <v>0</v>
      </c>
      <c r="L11" s="517"/>
      <c r="M11" s="517">
        <f>IF($B11=0,0,(((VLOOKUP(Summary_Services!$F11,lookup_salaries,8,FALSE))*$E11)))</f>
        <v>0</v>
      </c>
      <c r="N11" s="517">
        <f>IF($B11=0,0,(((VLOOKUP(Summary_Services!$F11,lookup_salaries,8,FALSE))*$E11)))</f>
        <v>0</v>
      </c>
      <c r="O11" s="517">
        <f>IF($B11=0,0,(((VLOOKUP(Summary_Services!$F11,lookup_salaries,8,FALSE))*$E11)))</f>
        <v>0</v>
      </c>
      <c r="P11" s="517">
        <f>IF($B11=0,0,(((VLOOKUP(Summary_Services!$F11,lookup_salaries,8,FALSE))*$E11)))</f>
        <v>0</v>
      </c>
      <c r="Q11" s="517">
        <f>IF($B11=0,0,(((VLOOKUP(Summary_Services!$F11,lookup_salaries,8,FALSE))*$E11)))</f>
        <v>0</v>
      </c>
      <c r="R11" s="517">
        <f>IF($B11=0,0,(((VLOOKUP(Summary_Services!$F11,lookup_salaries,8,FALSE))*$E11)))</f>
        <v>0</v>
      </c>
      <c r="S11" s="517"/>
      <c r="T11" s="517">
        <f>IF(Summary_Services!Y11=0,0,Summary_TG!Q14/Summary_Services!Y11)</f>
        <v>0</v>
      </c>
      <c r="U11" s="517">
        <f>IF(Summary_Services!Z11=0,0,Summary_TG!R14/Summary_Services!Z11)</f>
        <v>0</v>
      </c>
      <c r="V11" s="517">
        <f>IF(Summary_Services!AA11=0,0,Summary_TG!S14/Summary_Services!AA11)</f>
        <v>0</v>
      </c>
      <c r="W11" s="517">
        <f>IF(Summary_Services!AB11=0,0,Summary_TG!T14/Summary_Services!AB11)</f>
        <v>0</v>
      </c>
      <c r="X11" s="517">
        <f>IF(Summary_Services!AC11=0,0,Summary_TG!U14/Summary_Services!AC11)</f>
        <v>0</v>
      </c>
      <c r="Y11" s="517">
        <f>IF(Summary_Services!AD11=0,0,Summary_TG!V14/Summary_Services!AD11)</f>
        <v>0</v>
      </c>
      <c r="Z11" s="517"/>
      <c r="AA11" s="517">
        <f>Summary_Services!R11</f>
        <v>0</v>
      </c>
      <c r="AB11" s="517">
        <f>Summary_Services!S11</f>
        <v>0</v>
      </c>
      <c r="AC11" s="517">
        <f>Summary_Services!T11</f>
        <v>0</v>
      </c>
      <c r="AD11" s="517">
        <f>Summary_Services!U11</f>
        <v>0</v>
      </c>
      <c r="AE11" s="517">
        <f>Summary_Services!V11</f>
        <v>0</v>
      </c>
      <c r="AF11" s="517">
        <f>Summary_Services!W11</f>
        <v>0</v>
      </c>
      <c r="AG11" s="517"/>
      <c r="AH11" s="517">
        <f t="shared" si="10"/>
        <v>0</v>
      </c>
      <c r="AI11" s="517">
        <f t="shared" si="11"/>
        <v>0</v>
      </c>
      <c r="AJ11" s="517">
        <f t="shared" si="12"/>
        <v>0</v>
      </c>
      <c r="AK11" s="517">
        <f t="shared" si="13"/>
        <v>0</v>
      </c>
      <c r="AL11" s="517">
        <f t="shared" si="14"/>
        <v>0</v>
      </c>
      <c r="AM11" s="517">
        <f t="shared" si="15"/>
        <v>0</v>
      </c>
      <c r="AN11" s="517"/>
      <c r="AO11" s="517">
        <f t="shared" si="16"/>
        <v>0</v>
      </c>
      <c r="AP11" s="517">
        <f t="shared" si="17"/>
        <v>0</v>
      </c>
      <c r="AQ11" s="517">
        <f t="shared" si="18"/>
        <v>0</v>
      </c>
      <c r="AR11" s="517">
        <f t="shared" si="19"/>
        <v>0</v>
      </c>
      <c r="AS11" s="517">
        <f t="shared" si="20"/>
        <v>0</v>
      </c>
      <c r="AT11" s="517">
        <f t="shared" si="21"/>
        <v>0</v>
      </c>
      <c r="AU11" s="517"/>
      <c r="AV11" s="517">
        <f t="shared" si="22"/>
        <v>0</v>
      </c>
      <c r="AW11" s="517">
        <f t="shared" si="23"/>
        <v>0</v>
      </c>
      <c r="AX11" s="517">
        <f t="shared" si="24"/>
        <v>0</v>
      </c>
      <c r="AY11" s="517">
        <f t="shared" si="25"/>
        <v>0</v>
      </c>
      <c r="AZ11" s="517">
        <f t="shared" si="26"/>
        <v>0</v>
      </c>
      <c r="BA11" s="517">
        <f t="shared" si="27"/>
        <v>0</v>
      </c>
      <c r="BB11" s="517"/>
      <c r="BC11" s="517" t="e">
        <f>+AH11/Demography!C$10</f>
        <v>#DIV/0!</v>
      </c>
      <c r="BD11" s="517" t="e">
        <f>+AI11/Demography!D$10</f>
        <v>#DIV/0!</v>
      </c>
      <c r="BE11" s="517" t="e">
        <f>+AJ11/Demography!E$10</f>
        <v>#DIV/0!</v>
      </c>
      <c r="BF11" s="517" t="e">
        <f>+AK11/Demography!F$10</f>
        <v>#DIV/0!</v>
      </c>
      <c r="BG11" s="517" t="e">
        <f>+AL11/Demography!G$10</f>
        <v>#DIV/0!</v>
      </c>
      <c r="BH11" s="517" t="e">
        <f>+AM11/Demography!H$10</f>
        <v>#DIV/0!</v>
      </c>
    </row>
    <row r="12" spans="1:60">
      <c r="A12" s="578">
        <v>7</v>
      </c>
      <c r="B12" s="4">
        <f>Summary_TG!B15</f>
        <v>0</v>
      </c>
      <c r="C12" s="4">
        <f>Summary_TG!C15</f>
        <v>0</v>
      </c>
      <c r="D12">
        <f>Summary_Services!E12</f>
        <v>0</v>
      </c>
      <c r="E12">
        <f>Summary_TG!G15</f>
        <v>0</v>
      </c>
      <c r="F12" s="517">
        <f t="shared" si="4"/>
        <v>0</v>
      </c>
      <c r="G12" s="517">
        <f t="shared" si="5"/>
        <v>0</v>
      </c>
      <c r="H12" s="517">
        <f t="shared" si="6"/>
        <v>0</v>
      </c>
      <c r="I12" s="517">
        <f t="shared" si="7"/>
        <v>0</v>
      </c>
      <c r="J12" s="517">
        <f t="shared" si="8"/>
        <v>0</v>
      </c>
      <c r="K12" s="517">
        <f t="shared" si="9"/>
        <v>0</v>
      </c>
      <c r="L12" s="517"/>
      <c r="M12" s="517">
        <f>IF($B12=0,0,(((VLOOKUP(Summary_Services!$F12,lookup_salaries,8,FALSE))*$E12)))</f>
        <v>0</v>
      </c>
      <c r="N12" s="517">
        <f>IF($B12=0,0,(((VLOOKUP(Summary_Services!$F12,lookup_salaries,8,FALSE))*$E12)))</f>
        <v>0</v>
      </c>
      <c r="O12" s="517">
        <f>IF($B12=0,0,(((VLOOKUP(Summary_Services!$F12,lookup_salaries,8,FALSE))*$E12)))</f>
        <v>0</v>
      </c>
      <c r="P12" s="517">
        <f>IF($B12=0,0,(((VLOOKUP(Summary_Services!$F12,lookup_salaries,8,FALSE))*$E12)))</f>
        <v>0</v>
      </c>
      <c r="Q12" s="517">
        <f>IF($B12=0,0,(((VLOOKUP(Summary_Services!$F12,lookup_salaries,8,FALSE))*$E12)))</f>
        <v>0</v>
      </c>
      <c r="R12" s="517">
        <f>IF($B12=0,0,(((VLOOKUP(Summary_Services!$F12,lookup_salaries,8,FALSE))*$E12)))</f>
        <v>0</v>
      </c>
      <c r="S12" s="517"/>
      <c r="T12" s="517">
        <f>IF(Summary_Services!Y12=0,0,Summary_TG!Q15/Summary_Services!Y12)</f>
        <v>0</v>
      </c>
      <c r="U12" s="517">
        <f>IF(Summary_Services!Z12=0,0,Summary_TG!R15/Summary_Services!Z12)</f>
        <v>0</v>
      </c>
      <c r="V12" s="517">
        <f>IF(Summary_Services!AA12=0,0,Summary_TG!S15/Summary_Services!AA12)</f>
        <v>0</v>
      </c>
      <c r="W12" s="517">
        <f>IF(Summary_Services!AB12=0,0,Summary_TG!T15/Summary_Services!AB12)</f>
        <v>0</v>
      </c>
      <c r="X12" s="517">
        <f>IF(Summary_Services!AC12=0,0,Summary_TG!U15/Summary_Services!AC12)</f>
        <v>0</v>
      </c>
      <c r="Y12" s="517">
        <f>IF(Summary_Services!AD12=0,0,Summary_TG!V15/Summary_Services!AD12)</f>
        <v>0</v>
      </c>
      <c r="Z12" s="517"/>
      <c r="AA12" s="517">
        <f>Summary_Services!R12</f>
        <v>0</v>
      </c>
      <c r="AB12" s="517">
        <f>Summary_Services!S12</f>
        <v>0</v>
      </c>
      <c r="AC12" s="517">
        <f>Summary_Services!T12</f>
        <v>0</v>
      </c>
      <c r="AD12" s="517">
        <f>Summary_Services!U12</f>
        <v>0</v>
      </c>
      <c r="AE12" s="517">
        <f>Summary_Services!V12</f>
        <v>0</v>
      </c>
      <c r="AF12" s="517">
        <f>Summary_Services!W12</f>
        <v>0</v>
      </c>
      <c r="AG12" s="517"/>
      <c r="AH12" s="517">
        <f t="shared" si="10"/>
        <v>0</v>
      </c>
      <c r="AI12" s="517">
        <f t="shared" si="11"/>
        <v>0</v>
      </c>
      <c r="AJ12" s="517">
        <f t="shared" si="12"/>
        <v>0</v>
      </c>
      <c r="AK12" s="517">
        <f t="shared" si="13"/>
        <v>0</v>
      </c>
      <c r="AL12" s="517">
        <f t="shared" si="14"/>
        <v>0</v>
      </c>
      <c r="AM12" s="517">
        <f t="shared" si="15"/>
        <v>0</v>
      </c>
      <c r="AN12" s="517"/>
      <c r="AO12" s="517">
        <f t="shared" si="16"/>
        <v>0</v>
      </c>
      <c r="AP12" s="517">
        <f t="shared" si="17"/>
        <v>0</v>
      </c>
      <c r="AQ12" s="517">
        <f t="shared" si="18"/>
        <v>0</v>
      </c>
      <c r="AR12" s="517">
        <f t="shared" si="19"/>
        <v>0</v>
      </c>
      <c r="AS12" s="517">
        <f t="shared" si="20"/>
        <v>0</v>
      </c>
      <c r="AT12" s="517">
        <f t="shared" si="21"/>
        <v>0</v>
      </c>
      <c r="AU12" s="517"/>
      <c r="AV12" s="517">
        <f t="shared" si="22"/>
        <v>0</v>
      </c>
      <c r="AW12" s="517">
        <f t="shared" si="23"/>
        <v>0</v>
      </c>
      <c r="AX12" s="517">
        <f t="shared" si="24"/>
        <v>0</v>
      </c>
      <c r="AY12" s="517">
        <f t="shared" si="25"/>
        <v>0</v>
      </c>
      <c r="AZ12" s="517">
        <f t="shared" si="26"/>
        <v>0</v>
      </c>
      <c r="BA12" s="517">
        <f t="shared" si="27"/>
        <v>0</v>
      </c>
      <c r="BB12" s="517"/>
      <c r="BC12" s="517" t="e">
        <f>+AH12/Demography!C$10</f>
        <v>#DIV/0!</v>
      </c>
      <c r="BD12" s="517" t="e">
        <f>+AI12/Demography!D$10</f>
        <v>#DIV/0!</v>
      </c>
      <c r="BE12" s="517" t="e">
        <f>+AJ12/Demography!E$10</f>
        <v>#DIV/0!</v>
      </c>
      <c r="BF12" s="517" t="e">
        <f>+AK12/Demography!F$10</f>
        <v>#DIV/0!</v>
      </c>
      <c r="BG12" s="517" t="e">
        <f>+AL12/Demography!G$10</f>
        <v>#DIV/0!</v>
      </c>
      <c r="BH12" s="517" t="e">
        <f>+AM12/Demography!H$10</f>
        <v>#DIV/0!</v>
      </c>
    </row>
    <row r="13" spans="1:60">
      <c r="A13" s="578">
        <v>8</v>
      </c>
      <c r="B13" s="4">
        <f>Summary_TG!B16</f>
        <v>0</v>
      </c>
      <c r="C13" s="4">
        <f>Summary_TG!C16</f>
        <v>0</v>
      </c>
      <c r="D13">
        <f>Summary_Services!E13</f>
        <v>0</v>
      </c>
      <c r="E13">
        <f>Summary_TG!G16</f>
        <v>0</v>
      </c>
      <c r="F13" s="517">
        <f t="shared" si="4"/>
        <v>0</v>
      </c>
      <c r="G13" s="517">
        <f t="shared" si="5"/>
        <v>0</v>
      </c>
      <c r="H13" s="517">
        <f t="shared" si="6"/>
        <v>0</v>
      </c>
      <c r="I13" s="517">
        <f t="shared" si="7"/>
        <v>0</v>
      </c>
      <c r="J13" s="517">
        <f t="shared" si="8"/>
        <v>0</v>
      </c>
      <c r="K13" s="517">
        <f t="shared" si="9"/>
        <v>0</v>
      </c>
      <c r="L13" s="517"/>
      <c r="M13" s="517">
        <f>IF($B13=0,0,(((VLOOKUP(Summary_Services!$F13,lookup_salaries,8,FALSE))*$E13)))</f>
        <v>0</v>
      </c>
      <c r="N13" s="517">
        <f>IF($B13=0,0,(((VLOOKUP(Summary_Services!$F13,lookup_salaries,8,FALSE))*$E13)))</f>
        <v>0</v>
      </c>
      <c r="O13" s="517">
        <f>IF($B13=0,0,(((VLOOKUP(Summary_Services!$F13,lookup_salaries,8,FALSE))*$E13)))</f>
        <v>0</v>
      </c>
      <c r="P13" s="517">
        <f>IF($B13=0,0,(((VLOOKUP(Summary_Services!$F13,lookup_salaries,8,FALSE))*$E13)))</f>
        <v>0</v>
      </c>
      <c r="Q13" s="517">
        <f>IF($B13=0,0,(((VLOOKUP(Summary_Services!$F13,lookup_salaries,8,FALSE))*$E13)))</f>
        <v>0</v>
      </c>
      <c r="R13" s="517">
        <f>IF($B13=0,0,(((VLOOKUP(Summary_Services!$F13,lookup_salaries,8,FALSE))*$E13)))</f>
        <v>0</v>
      </c>
      <c r="S13" s="517"/>
      <c r="T13" s="517">
        <f>IF(Summary_Services!Y13=0,0,Summary_TG!Q16/Summary_Services!Y13)</f>
        <v>0</v>
      </c>
      <c r="U13" s="517">
        <f>IF(Summary_Services!Z13=0,0,Summary_TG!R16/Summary_Services!Z13)</f>
        <v>0</v>
      </c>
      <c r="V13" s="517">
        <f>IF(Summary_Services!AA13=0,0,Summary_TG!S16/Summary_Services!AA13)</f>
        <v>0</v>
      </c>
      <c r="W13" s="517">
        <f>IF(Summary_Services!AB13=0,0,Summary_TG!T16/Summary_Services!AB13)</f>
        <v>0</v>
      </c>
      <c r="X13" s="517">
        <f>IF(Summary_Services!AC13=0,0,Summary_TG!U16/Summary_Services!AC13)</f>
        <v>0</v>
      </c>
      <c r="Y13" s="517">
        <f>IF(Summary_Services!AD13=0,0,Summary_TG!V16/Summary_Services!AD13)</f>
        <v>0</v>
      </c>
      <c r="Z13" s="517"/>
      <c r="AA13" s="517">
        <f>Summary_Services!R13</f>
        <v>0</v>
      </c>
      <c r="AB13" s="517">
        <f>Summary_Services!S13</f>
        <v>0</v>
      </c>
      <c r="AC13" s="517">
        <f>Summary_Services!T13</f>
        <v>0</v>
      </c>
      <c r="AD13" s="517">
        <f>Summary_Services!U13</f>
        <v>0</v>
      </c>
      <c r="AE13" s="517">
        <f>Summary_Services!V13</f>
        <v>0</v>
      </c>
      <c r="AF13" s="517">
        <f>Summary_Services!W13</f>
        <v>0</v>
      </c>
      <c r="AG13" s="517"/>
      <c r="AH13" s="517">
        <f t="shared" si="10"/>
        <v>0</v>
      </c>
      <c r="AI13" s="517">
        <f t="shared" si="11"/>
        <v>0</v>
      </c>
      <c r="AJ13" s="517">
        <f t="shared" si="12"/>
        <v>0</v>
      </c>
      <c r="AK13" s="517">
        <f t="shared" si="13"/>
        <v>0</v>
      </c>
      <c r="AL13" s="517">
        <f t="shared" si="14"/>
        <v>0</v>
      </c>
      <c r="AM13" s="517">
        <f t="shared" si="15"/>
        <v>0</v>
      </c>
      <c r="AN13" s="517"/>
      <c r="AO13" s="517">
        <f t="shared" si="16"/>
        <v>0</v>
      </c>
      <c r="AP13" s="517">
        <f t="shared" si="17"/>
        <v>0</v>
      </c>
      <c r="AQ13" s="517">
        <f t="shared" si="18"/>
        <v>0</v>
      </c>
      <c r="AR13" s="517">
        <f t="shared" si="19"/>
        <v>0</v>
      </c>
      <c r="AS13" s="517">
        <f t="shared" si="20"/>
        <v>0</v>
      </c>
      <c r="AT13" s="517">
        <f t="shared" si="21"/>
        <v>0</v>
      </c>
      <c r="AU13" s="517"/>
      <c r="AV13" s="517">
        <f t="shared" si="22"/>
        <v>0</v>
      </c>
      <c r="AW13" s="517">
        <f t="shared" si="23"/>
        <v>0</v>
      </c>
      <c r="AX13" s="517">
        <f t="shared" si="24"/>
        <v>0</v>
      </c>
      <c r="AY13" s="517">
        <f t="shared" si="25"/>
        <v>0</v>
      </c>
      <c r="AZ13" s="517">
        <f t="shared" si="26"/>
        <v>0</v>
      </c>
      <c r="BA13" s="517">
        <f t="shared" si="27"/>
        <v>0</v>
      </c>
      <c r="BB13" s="517"/>
      <c r="BC13" s="517" t="e">
        <f>+AH13/Demography!C$10</f>
        <v>#DIV/0!</v>
      </c>
      <c r="BD13" s="517" t="e">
        <f>+AI13/Demography!D$10</f>
        <v>#DIV/0!</v>
      </c>
      <c r="BE13" s="517" t="e">
        <f>+AJ13/Demography!E$10</f>
        <v>#DIV/0!</v>
      </c>
      <c r="BF13" s="517" t="e">
        <f>+AK13/Demography!F$10</f>
        <v>#DIV/0!</v>
      </c>
      <c r="BG13" s="517" t="e">
        <f>+AL13/Demography!G$10</f>
        <v>#DIV/0!</v>
      </c>
      <c r="BH13" s="517" t="e">
        <f>+AM13/Demography!H$10</f>
        <v>#DIV/0!</v>
      </c>
    </row>
    <row r="14" spans="1:60">
      <c r="A14" s="578">
        <v>9</v>
      </c>
      <c r="B14" s="4">
        <f>Summary_TG!B17</f>
        <v>0</v>
      </c>
      <c r="C14" s="4">
        <f>Summary_TG!C17</f>
        <v>0</v>
      </c>
      <c r="D14">
        <f>Summary_Services!E14</f>
        <v>0</v>
      </c>
      <c r="E14">
        <f>Summary_TG!G17</f>
        <v>0</v>
      </c>
      <c r="F14" s="517">
        <f t="shared" si="4"/>
        <v>0</v>
      </c>
      <c r="G14" s="517">
        <f t="shared" si="5"/>
        <v>0</v>
      </c>
      <c r="H14" s="517">
        <f t="shared" si="6"/>
        <v>0</v>
      </c>
      <c r="I14" s="517">
        <f t="shared" si="7"/>
        <v>0</v>
      </c>
      <c r="J14" s="517">
        <f t="shared" si="8"/>
        <v>0</v>
      </c>
      <c r="K14" s="517">
        <f t="shared" si="9"/>
        <v>0</v>
      </c>
      <c r="L14" s="517"/>
      <c r="M14" s="517">
        <f>IF($B14=0,0,(((VLOOKUP(Summary_Services!$F14,lookup_salaries,8,FALSE))*$E14)))</f>
        <v>0</v>
      </c>
      <c r="N14" s="517">
        <f>IF($B14=0,0,(((VLOOKUP(Summary_Services!$F14,lookup_salaries,8,FALSE))*$E14)))</f>
        <v>0</v>
      </c>
      <c r="O14" s="517">
        <f>IF($B14=0,0,(((VLOOKUP(Summary_Services!$F14,lookup_salaries,8,FALSE))*$E14)))</f>
        <v>0</v>
      </c>
      <c r="P14" s="517">
        <f>IF($B14=0,0,(((VLOOKUP(Summary_Services!$F14,lookup_salaries,8,FALSE))*$E14)))</f>
        <v>0</v>
      </c>
      <c r="Q14" s="517">
        <f>IF($B14=0,0,(((VLOOKUP(Summary_Services!$F14,lookup_salaries,8,FALSE))*$E14)))</f>
        <v>0</v>
      </c>
      <c r="R14" s="517">
        <f>IF($B14=0,0,(((VLOOKUP(Summary_Services!$F14,lookup_salaries,8,FALSE))*$E14)))</f>
        <v>0</v>
      </c>
      <c r="S14" s="517"/>
      <c r="T14" s="517">
        <f>IF(Summary_Services!Y14=0,0,Summary_TG!Q17/Summary_Services!Y14)</f>
        <v>0</v>
      </c>
      <c r="U14" s="517">
        <f>IF(Summary_Services!Z14=0,0,Summary_TG!R17/Summary_Services!Z14)</f>
        <v>0</v>
      </c>
      <c r="V14" s="517">
        <f>IF(Summary_Services!AA14=0,0,Summary_TG!S17/Summary_Services!AA14)</f>
        <v>0</v>
      </c>
      <c r="W14" s="517">
        <f>IF(Summary_Services!AB14=0,0,Summary_TG!T17/Summary_Services!AB14)</f>
        <v>0</v>
      </c>
      <c r="X14" s="517">
        <f>IF(Summary_Services!AC14=0,0,Summary_TG!U17/Summary_Services!AC14)</f>
        <v>0</v>
      </c>
      <c r="Y14" s="517">
        <f>IF(Summary_Services!AD14=0,0,Summary_TG!V17/Summary_Services!AD14)</f>
        <v>0</v>
      </c>
      <c r="Z14" s="517"/>
      <c r="AA14" s="517">
        <f>Summary_Services!R14</f>
        <v>0</v>
      </c>
      <c r="AB14" s="517">
        <f>Summary_Services!S14</f>
        <v>0</v>
      </c>
      <c r="AC14" s="517">
        <f>Summary_Services!T14</f>
        <v>0</v>
      </c>
      <c r="AD14" s="517">
        <f>Summary_Services!U14</f>
        <v>0</v>
      </c>
      <c r="AE14" s="517">
        <f>Summary_Services!V14</f>
        <v>0</v>
      </c>
      <c r="AF14" s="517">
        <f>Summary_Services!W14</f>
        <v>0</v>
      </c>
      <c r="AG14" s="517"/>
      <c r="AH14" s="517">
        <f t="shared" si="10"/>
        <v>0</v>
      </c>
      <c r="AI14" s="517">
        <f t="shared" si="11"/>
        <v>0</v>
      </c>
      <c r="AJ14" s="517">
        <f t="shared" si="12"/>
        <v>0</v>
      </c>
      <c r="AK14" s="517">
        <f t="shared" si="13"/>
        <v>0</v>
      </c>
      <c r="AL14" s="517">
        <f t="shared" si="14"/>
        <v>0</v>
      </c>
      <c r="AM14" s="517">
        <f t="shared" si="15"/>
        <v>0</v>
      </c>
      <c r="AN14" s="517"/>
      <c r="AO14" s="517">
        <f t="shared" si="16"/>
        <v>0</v>
      </c>
      <c r="AP14" s="517">
        <f t="shared" si="17"/>
        <v>0</v>
      </c>
      <c r="AQ14" s="517">
        <f t="shared" si="18"/>
        <v>0</v>
      </c>
      <c r="AR14" s="517">
        <f t="shared" si="19"/>
        <v>0</v>
      </c>
      <c r="AS14" s="517">
        <f t="shared" si="20"/>
        <v>0</v>
      </c>
      <c r="AT14" s="517">
        <f t="shared" si="21"/>
        <v>0</v>
      </c>
      <c r="AU14" s="517"/>
      <c r="AV14" s="517">
        <f t="shared" si="22"/>
        <v>0</v>
      </c>
      <c r="AW14" s="517">
        <f t="shared" si="23"/>
        <v>0</v>
      </c>
      <c r="AX14" s="517">
        <f t="shared" si="24"/>
        <v>0</v>
      </c>
      <c r="AY14" s="517">
        <f t="shared" si="25"/>
        <v>0</v>
      </c>
      <c r="AZ14" s="517">
        <f t="shared" si="26"/>
        <v>0</v>
      </c>
      <c r="BA14" s="517">
        <f t="shared" si="27"/>
        <v>0</v>
      </c>
      <c r="BB14" s="517"/>
      <c r="BC14" s="517" t="e">
        <f>+AH14/Demography!C$10</f>
        <v>#DIV/0!</v>
      </c>
      <c r="BD14" s="517" t="e">
        <f>+AI14/Demography!D$10</f>
        <v>#DIV/0!</v>
      </c>
      <c r="BE14" s="517" t="e">
        <f>+AJ14/Demography!E$10</f>
        <v>#DIV/0!</v>
      </c>
      <c r="BF14" s="517" t="e">
        <f>+AK14/Demography!F$10</f>
        <v>#DIV/0!</v>
      </c>
      <c r="BG14" s="517" t="e">
        <f>+AL14/Demography!G$10</f>
        <v>#DIV/0!</v>
      </c>
      <c r="BH14" s="517" t="e">
        <f>+AM14/Demography!H$10</f>
        <v>#DIV/0!</v>
      </c>
    </row>
    <row r="15" spans="1:60">
      <c r="A15" s="578">
        <v>10</v>
      </c>
      <c r="B15" s="4">
        <f>Summary_TG!B18</f>
        <v>0</v>
      </c>
      <c r="C15" s="4">
        <f>Summary_TG!C18</f>
        <v>0</v>
      </c>
      <c r="D15">
        <f>Summary_Services!E15</f>
        <v>0</v>
      </c>
      <c r="E15">
        <f>Summary_TG!G18</f>
        <v>0</v>
      </c>
      <c r="F15" s="517">
        <f t="shared" si="4"/>
        <v>0</v>
      </c>
      <c r="G15" s="517">
        <f t="shared" si="5"/>
        <v>0</v>
      </c>
      <c r="H15" s="517">
        <f t="shared" si="6"/>
        <v>0</v>
      </c>
      <c r="I15" s="517">
        <f t="shared" si="7"/>
        <v>0</v>
      </c>
      <c r="J15" s="517">
        <f t="shared" si="8"/>
        <v>0</v>
      </c>
      <c r="K15" s="517">
        <f t="shared" si="9"/>
        <v>0</v>
      </c>
      <c r="L15" s="517"/>
      <c r="M15" s="517">
        <f>IF($B15=0,0,(((VLOOKUP(Summary_Services!$F15,lookup_salaries,8,FALSE))*$E15)))</f>
        <v>0</v>
      </c>
      <c r="N15" s="517">
        <f>IF($B15=0,0,(((VLOOKUP(Summary_Services!$F15,lookup_salaries,8,FALSE))*$E15)))</f>
        <v>0</v>
      </c>
      <c r="O15" s="517">
        <f>IF($B15=0,0,(((VLOOKUP(Summary_Services!$F15,lookup_salaries,8,FALSE))*$E15)))</f>
        <v>0</v>
      </c>
      <c r="P15" s="517">
        <f>IF($B15=0,0,(((VLOOKUP(Summary_Services!$F15,lookup_salaries,8,FALSE))*$E15)))</f>
        <v>0</v>
      </c>
      <c r="Q15" s="517">
        <f>IF($B15=0,0,(((VLOOKUP(Summary_Services!$F15,lookup_salaries,8,FALSE))*$E15)))</f>
        <v>0</v>
      </c>
      <c r="R15" s="517">
        <f>IF($B15=0,0,(((VLOOKUP(Summary_Services!$F15,lookup_salaries,8,FALSE))*$E15)))</f>
        <v>0</v>
      </c>
      <c r="S15" s="517"/>
      <c r="T15" s="517">
        <f>IF(Summary_Services!Y15=0,0,Summary_TG!Q18/Summary_Services!Y15)</f>
        <v>0</v>
      </c>
      <c r="U15" s="517">
        <f>IF(Summary_Services!Z15=0,0,Summary_TG!R18/Summary_Services!Z15)</f>
        <v>0</v>
      </c>
      <c r="V15" s="517">
        <f>IF(Summary_Services!AA15=0,0,Summary_TG!S18/Summary_Services!AA15)</f>
        <v>0</v>
      </c>
      <c r="W15" s="517">
        <f>IF(Summary_Services!AB15=0,0,Summary_TG!T18/Summary_Services!AB15)</f>
        <v>0</v>
      </c>
      <c r="X15" s="517">
        <f>IF(Summary_Services!AC15=0,0,Summary_TG!U18/Summary_Services!AC15)</f>
        <v>0</v>
      </c>
      <c r="Y15" s="517">
        <f>IF(Summary_Services!AD15=0,0,Summary_TG!V18/Summary_Services!AD15)</f>
        <v>0</v>
      </c>
      <c r="Z15" s="517"/>
      <c r="AA15" s="517">
        <f>Summary_Services!R15</f>
        <v>0</v>
      </c>
      <c r="AB15" s="517">
        <f>Summary_Services!S15</f>
        <v>0</v>
      </c>
      <c r="AC15" s="517">
        <f>Summary_Services!T15</f>
        <v>0</v>
      </c>
      <c r="AD15" s="517">
        <f>Summary_Services!U15</f>
        <v>0</v>
      </c>
      <c r="AE15" s="517">
        <f>Summary_Services!V15</f>
        <v>0</v>
      </c>
      <c r="AF15" s="517">
        <f>Summary_Services!W15</f>
        <v>0</v>
      </c>
      <c r="AG15" s="517"/>
      <c r="AH15" s="517">
        <f t="shared" si="10"/>
        <v>0</v>
      </c>
      <c r="AI15" s="517">
        <f t="shared" si="11"/>
        <v>0</v>
      </c>
      <c r="AJ15" s="517">
        <f t="shared" si="12"/>
        <v>0</v>
      </c>
      <c r="AK15" s="517">
        <f t="shared" si="13"/>
        <v>0</v>
      </c>
      <c r="AL15" s="517">
        <f t="shared" si="14"/>
        <v>0</v>
      </c>
      <c r="AM15" s="517">
        <f t="shared" si="15"/>
        <v>0</v>
      </c>
      <c r="AN15" s="517"/>
      <c r="AO15" s="517">
        <f t="shared" si="16"/>
        <v>0</v>
      </c>
      <c r="AP15" s="517">
        <f t="shared" si="17"/>
        <v>0</v>
      </c>
      <c r="AQ15" s="517">
        <f t="shared" si="18"/>
        <v>0</v>
      </c>
      <c r="AR15" s="517">
        <f t="shared" si="19"/>
        <v>0</v>
      </c>
      <c r="AS15" s="517">
        <f t="shared" si="20"/>
        <v>0</v>
      </c>
      <c r="AT15" s="517">
        <f t="shared" si="21"/>
        <v>0</v>
      </c>
      <c r="AU15" s="517"/>
      <c r="AV15" s="517">
        <f t="shared" si="22"/>
        <v>0</v>
      </c>
      <c r="AW15" s="517">
        <f t="shared" si="23"/>
        <v>0</v>
      </c>
      <c r="AX15" s="517">
        <f t="shared" si="24"/>
        <v>0</v>
      </c>
      <c r="AY15" s="517">
        <f t="shared" si="25"/>
        <v>0</v>
      </c>
      <c r="AZ15" s="517">
        <f t="shared" si="26"/>
        <v>0</v>
      </c>
      <c r="BA15" s="517">
        <f t="shared" si="27"/>
        <v>0</v>
      </c>
      <c r="BB15" s="517"/>
      <c r="BC15" s="517" t="e">
        <f>+AH15/Demography!C$10</f>
        <v>#DIV/0!</v>
      </c>
      <c r="BD15" s="517" t="e">
        <f>+AI15/Demography!D$10</f>
        <v>#DIV/0!</v>
      </c>
      <c r="BE15" s="517" t="e">
        <f>+AJ15/Demography!E$10</f>
        <v>#DIV/0!</v>
      </c>
      <c r="BF15" s="517" t="e">
        <f>+AK15/Demography!F$10</f>
        <v>#DIV/0!</v>
      </c>
      <c r="BG15" s="517" t="e">
        <f>+AL15/Demography!G$10</f>
        <v>#DIV/0!</v>
      </c>
      <c r="BH15" s="517" t="e">
        <f>+AM15/Demography!H$10</f>
        <v>#DIV/0!</v>
      </c>
    </row>
    <row r="16" spans="1:60">
      <c r="A16" s="578">
        <v>11</v>
      </c>
      <c r="B16" s="4">
        <f>Summary_TG!B19</f>
        <v>0</v>
      </c>
      <c r="C16" s="4">
        <f>Summary_TG!C19</f>
        <v>0</v>
      </c>
      <c r="D16">
        <f>Summary_Services!E16</f>
        <v>0</v>
      </c>
      <c r="E16">
        <f>Summary_TG!G19</f>
        <v>0</v>
      </c>
      <c r="F16" s="517">
        <f t="shared" si="4"/>
        <v>0</v>
      </c>
      <c r="G16" s="517">
        <f t="shared" si="5"/>
        <v>0</v>
      </c>
      <c r="H16" s="517">
        <f t="shared" si="6"/>
        <v>0</v>
      </c>
      <c r="I16" s="517">
        <f t="shared" si="7"/>
        <v>0</v>
      </c>
      <c r="J16" s="517">
        <f t="shared" si="8"/>
        <v>0</v>
      </c>
      <c r="K16" s="517">
        <f t="shared" si="9"/>
        <v>0</v>
      </c>
      <c r="L16" s="517"/>
      <c r="M16" s="517">
        <f>IF($B16=0,0,(((VLOOKUP(Summary_Services!$F16,lookup_salaries,8,FALSE))*$E16)))</f>
        <v>0</v>
      </c>
      <c r="N16" s="517">
        <f>IF($B16=0,0,(((VLOOKUP(Summary_Services!$F16,lookup_salaries,8,FALSE))*$E16)))</f>
        <v>0</v>
      </c>
      <c r="O16" s="517">
        <f>IF($B16=0,0,(((VLOOKUP(Summary_Services!$F16,lookup_salaries,8,FALSE))*$E16)))</f>
        <v>0</v>
      </c>
      <c r="P16" s="517">
        <f>IF($B16=0,0,(((VLOOKUP(Summary_Services!$F16,lookup_salaries,8,FALSE))*$E16)))</f>
        <v>0</v>
      </c>
      <c r="Q16" s="517">
        <f>IF($B16=0,0,(((VLOOKUP(Summary_Services!$F16,lookup_salaries,8,FALSE))*$E16)))</f>
        <v>0</v>
      </c>
      <c r="R16" s="517">
        <f>IF($B16=0,0,(((VLOOKUP(Summary_Services!$F16,lookup_salaries,8,FALSE))*$E16)))</f>
        <v>0</v>
      </c>
      <c r="S16" s="517"/>
      <c r="T16" s="517">
        <f>IF(Summary_Services!Y16=0,0,Summary_TG!Q19/Summary_Services!Y16)</f>
        <v>0</v>
      </c>
      <c r="U16" s="517">
        <f>IF(Summary_Services!Z16=0,0,Summary_TG!R19/Summary_Services!Z16)</f>
        <v>0</v>
      </c>
      <c r="V16" s="517">
        <f>IF(Summary_Services!AA16=0,0,Summary_TG!S19/Summary_Services!AA16)</f>
        <v>0</v>
      </c>
      <c r="W16" s="517">
        <f>IF(Summary_Services!AB16=0,0,Summary_TG!T19/Summary_Services!AB16)</f>
        <v>0</v>
      </c>
      <c r="X16" s="517">
        <f>IF(Summary_Services!AC16=0,0,Summary_TG!U19/Summary_Services!AC16)</f>
        <v>0</v>
      </c>
      <c r="Y16" s="517">
        <f>IF(Summary_Services!AD16=0,0,Summary_TG!V19/Summary_Services!AD16)</f>
        <v>0</v>
      </c>
      <c r="Z16" s="517"/>
      <c r="AA16" s="517">
        <f>Summary_Services!R16</f>
        <v>0</v>
      </c>
      <c r="AB16" s="517">
        <f>Summary_Services!S16</f>
        <v>0</v>
      </c>
      <c r="AC16" s="517">
        <f>Summary_Services!T16</f>
        <v>0</v>
      </c>
      <c r="AD16" s="517">
        <f>Summary_Services!U16</f>
        <v>0</v>
      </c>
      <c r="AE16" s="517">
        <f>Summary_Services!V16</f>
        <v>0</v>
      </c>
      <c r="AF16" s="517">
        <f>Summary_Services!W16</f>
        <v>0</v>
      </c>
      <c r="AG16" s="517"/>
      <c r="AH16" s="517">
        <f t="shared" si="10"/>
        <v>0</v>
      </c>
      <c r="AI16" s="517">
        <f t="shared" si="11"/>
        <v>0</v>
      </c>
      <c r="AJ16" s="517">
        <f t="shared" si="12"/>
        <v>0</v>
      </c>
      <c r="AK16" s="517">
        <f t="shared" si="13"/>
        <v>0</v>
      </c>
      <c r="AL16" s="517">
        <f t="shared" si="14"/>
        <v>0</v>
      </c>
      <c r="AM16" s="517">
        <f t="shared" si="15"/>
        <v>0</v>
      </c>
      <c r="AN16" s="517"/>
      <c r="AO16" s="517">
        <f t="shared" si="16"/>
        <v>0</v>
      </c>
      <c r="AP16" s="517">
        <f t="shared" si="17"/>
        <v>0</v>
      </c>
      <c r="AQ16" s="517">
        <f t="shared" si="18"/>
        <v>0</v>
      </c>
      <c r="AR16" s="517">
        <f t="shared" si="19"/>
        <v>0</v>
      </c>
      <c r="AS16" s="517">
        <f t="shared" si="20"/>
        <v>0</v>
      </c>
      <c r="AT16" s="517">
        <f t="shared" si="21"/>
        <v>0</v>
      </c>
      <c r="AU16" s="517"/>
      <c r="AV16" s="517">
        <f t="shared" si="22"/>
        <v>0</v>
      </c>
      <c r="AW16" s="517">
        <f t="shared" si="23"/>
        <v>0</v>
      </c>
      <c r="AX16" s="517">
        <f t="shared" si="24"/>
        <v>0</v>
      </c>
      <c r="AY16" s="517">
        <f t="shared" si="25"/>
        <v>0</v>
      </c>
      <c r="AZ16" s="517">
        <f t="shared" si="26"/>
        <v>0</v>
      </c>
      <c r="BA16" s="517">
        <f t="shared" si="27"/>
        <v>0</v>
      </c>
      <c r="BB16" s="517"/>
      <c r="BC16" s="517" t="e">
        <f>+AH16/Demography!C$10</f>
        <v>#DIV/0!</v>
      </c>
      <c r="BD16" s="517" t="e">
        <f>+AI16/Demography!D$10</f>
        <v>#DIV/0!</v>
      </c>
      <c r="BE16" s="517" t="e">
        <f>+AJ16/Demography!E$10</f>
        <v>#DIV/0!</v>
      </c>
      <c r="BF16" s="517" t="e">
        <f>+AK16/Demography!F$10</f>
        <v>#DIV/0!</v>
      </c>
      <c r="BG16" s="517" t="e">
        <f>+AL16/Demography!G$10</f>
        <v>#DIV/0!</v>
      </c>
      <c r="BH16" s="517" t="e">
        <f>+AM16/Demography!H$10</f>
        <v>#DIV/0!</v>
      </c>
    </row>
    <row r="17" spans="1:60">
      <c r="A17" s="578">
        <v>12</v>
      </c>
      <c r="B17" s="4">
        <f>Summary_TG!B20</f>
        <v>0</v>
      </c>
      <c r="C17" s="4">
        <f>Summary_TG!C20</f>
        <v>0</v>
      </c>
      <c r="D17">
        <f>Summary_Services!E17</f>
        <v>0</v>
      </c>
      <c r="E17">
        <f>Summary_TG!G20</f>
        <v>0</v>
      </c>
      <c r="F17" s="517">
        <f t="shared" si="4"/>
        <v>0</v>
      </c>
      <c r="G17" s="517">
        <f t="shared" si="5"/>
        <v>0</v>
      </c>
      <c r="H17" s="517">
        <f t="shared" si="6"/>
        <v>0</v>
      </c>
      <c r="I17" s="517">
        <f t="shared" si="7"/>
        <v>0</v>
      </c>
      <c r="J17" s="517">
        <f t="shared" si="8"/>
        <v>0</v>
      </c>
      <c r="K17" s="517">
        <f t="shared" si="9"/>
        <v>0</v>
      </c>
      <c r="L17" s="517"/>
      <c r="M17" s="517">
        <f>IF($B17=0,0,(((VLOOKUP(Summary_Services!$F17,lookup_salaries,8,FALSE))*$E17)))</f>
        <v>0</v>
      </c>
      <c r="N17" s="517">
        <f>IF($B17=0,0,(((VLOOKUP(Summary_Services!$F17,lookup_salaries,8,FALSE))*$E17)))</f>
        <v>0</v>
      </c>
      <c r="O17" s="517">
        <f>IF($B17=0,0,(((VLOOKUP(Summary_Services!$F17,lookup_salaries,8,FALSE))*$E17)))</f>
        <v>0</v>
      </c>
      <c r="P17" s="517">
        <f>IF($B17=0,0,(((VLOOKUP(Summary_Services!$F17,lookup_salaries,8,FALSE))*$E17)))</f>
        <v>0</v>
      </c>
      <c r="Q17" s="517">
        <f>IF($B17=0,0,(((VLOOKUP(Summary_Services!$F17,lookup_salaries,8,FALSE))*$E17)))</f>
        <v>0</v>
      </c>
      <c r="R17" s="517">
        <f>IF($B17=0,0,(((VLOOKUP(Summary_Services!$F17,lookup_salaries,8,FALSE))*$E17)))</f>
        <v>0</v>
      </c>
      <c r="S17" s="517"/>
      <c r="T17" s="517">
        <f>IF(Summary_Services!Y17=0,0,Summary_TG!Q20/Summary_Services!Y17)</f>
        <v>0</v>
      </c>
      <c r="U17" s="517">
        <f>IF(Summary_Services!Z17=0,0,Summary_TG!R20/Summary_Services!Z17)</f>
        <v>0</v>
      </c>
      <c r="V17" s="517">
        <f>IF(Summary_Services!AA17=0,0,Summary_TG!S20/Summary_Services!AA17)</f>
        <v>0</v>
      </c>
      <c r="W17" s="517">
        <f>IF(Summary_Services!AB17=0,0,Summary_TG!T20/Summary_Services!AB17)</f>
        <v>0</v>
      </c>
      <c r="X17" s="517">
        <f>IF(Summary_Services!AC17=0,0,Summary_TG!U20/Summary_Services!AC17)</f>
        <v>0</v>
      </c>
      <c r="Y17" s="517">
        <f>IF(Summary_Services!AD17=0,0,Summary_TG!V20/Summary_Services!AD17)</f>
        <v>0</v>
      </c>
      <c r="Z17" s="517"/>
      <c r="AA17" s="517">
        <f>Summary_Services!R17</f>
        <v>0</v>
      </c>
      <c r="AB17" s="517">
        <f>Summary_Services!S17</f>
        <v>0</v>
      </c>
      <c r="AC17" s="517">
        <f>Summary_Services!T17</f>
        <v>0</v>
      </c>
      <c r="AD17" s="517">
        <f>Summary_Services!U17</f>
        <v>0</v>
      </c>
      <c r="AE17" s="517">
        <f>Summary_Services!V17</f>
        <v>0</v>
      </c>
      <c r="AF17" s="517">
        <f>Summary_Services!W17</f>
        <v>0</v>
      </c>
      <c r="AG17" s="517"/>
      <c r="AH17" s="517">
        <f t="shared" si="10"/>
        <v>0</v>
      </c>
      <c r="AI17" s="517">
        <f t="shared" si="11"/>
        <v>0</v>
      </c>
      <c r="AJ17" s="517">
        <f t="shared" si="12"/>
        <v>0</v>
      </c>
      <c r="AK17" s="517">
        <f t="shared" si="13"/>
        <v>0</v>
      </c>
      <c r="AL17" s="517">
        <f t="shared" si="14"/>
        <v>0</v>
      </c>
      <c r="AM17" s="517">
        <f t="shared" si="15"/>
        <v>0</v>
      </c>
      <c r="AN17" s="517"/>
      <c r="AO17" s="517">
        <f t="shared" si="16"/>
        <v>0</v>
      </c>
      <c r="AP17" s="517">
        <f t="shared" si="17"/>
        <v>0</v>
      </c>
      <c r="AQ17" s="517">
        <f t="shared" si="18"/>
        <v>0</v>
      </c>
      <c r="AR17" s="517">
        <f t="shared" si="19"/>
        <v>0</v>
      </c>
      <c r="AS17" s="517">
        <f t="shared" si="20"/>
        <v>0</v>
      </c>
      <c r="AT17" s="517">
        <f t="shared" si="21"/>
        <v>0</v>
      </c>
      <c r="AU17" s="517"/>
      <c r="AV17" s="517">
        <f t="shared" si="22"/>
        <v>0</v>
      </c>
      <c r="AW17" s="517">
        <f t="shared" si="23"/>
        <v>0</v>
      </c>
      <c r="AX17" s="517">
        <f t="shared" si="24"/>
        <v>0</v>
      </c>
      <c r="AY17" s="517">
        <f t="shared" si="25"/>
        <v>0</v>
      </c>
      <c r="AZ17" s="517">
        <f t="shared" si="26"/>
        <v>0</v>
      </c>
      <c r="BA17" s="517">
        <f t="shared" si="27"/>
        <v>0</v>
      </c>
      <c r="BB17" s="517"/>
      <c r="BC17" s="517" t="e">
        <f>+AH17/Demography!C$10</f>
        <v>#DIV/0!</v>
      </c>
      <c r="BD17" s="517" t="e">
        <f>+AI17/Demography!D$10</f>
        <v>#DIV/0!</v>
      </c>
      <c r="BE17" s="517" t="e">
        <f>+AJ17/Demography!E$10</f>
        <v>#DIV/0!</v>
      </c>
      <c r="BF17" s="517" t="e">
        <f>+AK17/Demography!F$10</f>
        <v>#DIV/0!</v>
      </c>
      <c r="BG17" s="517" t="e">
        <f>+AL17/Demography!G$10</f>
        <v>#DIV/0!</v>
      </c>
      <c r="BH17" s="517" t="e">
        <f>+AM17/Demography!H$10</f>
        <v>#DIV/0!</v>
      </c>
    </row>
    <row r="18" spans="1:60">
      <c r="A18" s="578">
        <v>13</v>
      </c>
      <c r="B18" s="4">
        <f>Summary_TG!B21</f>
        <v>0</v>
      </c>
      <c r="C18" s="4">
        <f>Summary_TG!C21</f>
        <v>0</v>
      </c>
      <c r="D18">
        <f>Summary_Services!E18</f>
        <v>0</v>
      </c>
      <c r="E18">
        <f>Summary_TG!G21</f>
        <v>0</v>
      </c>
      <c r="F18" s="517">
        <f t="shared" si="4"/>
        <v>0</v>
      </c>
      <c r="G18" s="517">
        <f t="shared" si="5"/>
        <v>0</v>
      </c>
      <c r="H18" s="517">
        <f t="shared" si="6"/>
        <v>0</v>
      </c>
      <c r="I18" s="517">
        <f t="shared" si="7"/>
        <v>0</v>
      </c>
      <c r="J18" s="517">
        <f t="shared" si="8"/>
        <v>0</v>
      </c>
      <c r="K18" s="517">
        <f t="shared" si="9"/>
        <v>0</v>
      </c>
      <c r="L18" s="517"/>
      <c r="M18" s="517">
        <f>IF($B18=0,0,(((VLOOKUP(Summary_Services!$F18,lookup_salaries,8,FALSE))*$E18)))</f>
        <v>0</v>
      </c>
      <c r="N18" s="517">
        <f>IF($B18=0,0,(((VLOOKUP(Summary_Services!$F18,lookup_salaries,8,FALSE))*$E18)))</f>
        <v>0</v>
      </c>
      <c r="O18" s="517">
        <f>IF($B18=0,0,(((VLOOKUP(Summary_Services!$F18,lookup_salaries,8,FALSE))*$E18)))</f>
        <v>0</v>
      </c>
      <c r="P18" s="517">
        <f>IF($B18=0,0,(((VLOOKUP(Summary_Services!$F18,lookup_salaries,8,FALSE))*$E18)))</f>
        <v>0</v>
      </c>
      <c r="Q18" s="517">
        <f>IF($B18=0,0,(((VLOOKUP(Summary_Services!$F18,lookup_salaries,8,FALSE))*$E18)))</f>
        <v>0</v>
      </c>
      <c r="R18" s="517">
        <f>IF($B18=0,0,(((VLOOKUP(Summary_Services!$F18,lookup_salaries,8,FALSE))*$E18)))</f>
        <v>0</v>
      </c>
      <c r="S18" s="517"/>
      <c r="T18" s="517">
        <f>IF(Summary_Services!Y18=0,0,Summary_TG!Q21/Summary_Services!Y18)</f>
        <v>0</v>
      </c>
      <c r="U18" s="517">
        <f>IF(Summary_Services!Z18=0,0,Summary_TG!R21/Summary_Services!Z18)</f>
        <v>0</v>
      </c>
      <c r="V18" s="517">
        <f>IF(Summary_Services!AA18=0,0,Summary_TG!S21/Summary_Services!AA18)</f>
        <v>0</v>
      </c>
      <c r="W18" s="517">
        <f>IF(Summary_Services!AB18=0,0,Summary_TG!T21/Summary_Services!AB18)</f>
        <v>0</v>
      </c>
      <c r="X18" s="517">
        <f>IF(Summary_Services!AC18=0,0,Summary_TG!U21/Summary_Services!AC18)</f>
        <v>0</v>
      </c>
      <c r="Y18" s="517">
        <f>IF(Summary_Services!AD18=0,0,Summary_TG!V21/Summary_Services!AD18)</f>
        <v>0</v>
      </c>
      <c r="Z18" s="517"/>
      <c r="AA18" s="517">
        <f>Summary_Services!R18</f>
        <v>0</v>
      </c>
      <c r="AB18" s="517">
        <f>Summary_Services!S18</f>
        <v>0</v>
      </c>
      <c r="AC18" s="517">
        <f>Summary_Services!T18</f>
        <v>0</v>
      </c>
      <c r="AD18" s="517">
        <f>Summary_Services!U18</f>
        <v>0</v>
      </c>
      <c r="AE18" s="517">
        <f>Summary_Services!V18</f>
        <v>0</v>
      </c>
      <c r="AF18" s="517">
        <f>Summary_Services!W18</f>
        <v>0</v>
      </c>
      <c r="AG18" s="517"/>
      <c r="AH18" s="517">
        <f t="shared" si="10"/>
        <v>0</v>
      </c>
      <c r="AI18" s="517">
        <f t="shared" si="11"/>
        <v>0</v>
      </c>
      <c r="AJ18" s="517">
        <f t="shared" si="12"/>
        <v>0</v>
      </c>
      <c r="AK18" s="517">
        <f t="shared" si="13"/>
        <v>0</v>
      </c>
      <c r="AL18" s="517">
        <f t="shared" si="14"/>
        <v>0</v>
      </c>
      <c r="AM18" s="517">
        <f t="shared" si="15"/>
        <v>0</v>
      </c>
      <c r="AN18" s="517"/>
      <c r="AO18" s="517">
        <f t="shared" si="16"/>
        <v>0</v>
      </c>
      <c r="AP18" s="517">
        <f t="shared" si="17"/>
        <v>0</v>
      </c>
      <c r="AQ18" s="517">
        <f t="shared" si="18"/>
        <v>0</v>
      </c>
      <c r="AR18" s="517">
        <f t="shared" si="19"/>
        <v>0</v>
      </c>
      <c r="AS18" s="517">
        <f t="shared" si="20"/>
        <v>0</v>
      </c>
      <c r="AT18" s="517">
        <f t="shared" si="21"/>
        <v>0</v>
      </c>
      <c r="AU18" s="517"/>
      <c r="AV18" s="517">
        <f t="shared" si="22"/>
        <v>0</v>
      </c>
      <c r="AW18" s="517">
        <f t="shared" si="23"/>
        <v>0</v>
      </c>
      <c r="AX18" s="517">
        <f t="shared" si="24"/>
        <v>0</v>
      </c>
      <c r="AY18" s="517">
        <f t="shared" si="25"/>
        <v>0</v>
      </c>
      <c r="AZ18" s="517">
        <f t="shared" si="26"/>
        <v>0</v>
      </c>
      <c r="BA18" s="517">
        <f t="shared" si="27"/>
        <v>0</v>
      </c>
      <c r="BB18" s="517"/>
      <c r="BC18" s="517" t="e">
        <f>+AH18/Demography!C$10</f>
        <v>#DIV/0!</v>
      </c>
      <c r="BD18" s="517" t="e">
        <f>+AI18/Demography!D$10</f>
        <v>#DIV/0!</v>
      </c>
      <c r="BE18" s="517" t="e">
        <f>+AJ18/Demography!E$10</f>
        <v>#DIV/0!</v>
      </c>
      <c r="BF18" s="517" t="e">
        <f>+AK18/Demography!F$10</f>
        <v>#DIV/0!</v>
      </c>
      <c r="BG18" s="517" t="e">
        <f>+AL18/Demography!G$10</f>
        <v>#DIV/0!</v>
      </c>
      <c r="BH18" s="517" t="e">
        <f>+AM18/Demography!H$10</f>
        <v>#DIV/0!</v>
      </c>
    </row>
    <row r="19" spans="1:60">
      <c r="A19" s="578">
        <v>14</v>
      </c>
      <c r="B19" s="4">
        <f>Summary_TG!B22</f>
        <v>0</v>
      </c>
      <c r="C19" s="4">
        <f>Summary_TG!C22</f>
        <v>0</v>
      </c>
      <c r="D19">
        <f>Summary_Services!E19</f>
        <v>0</v>
      </c>
      <c r="E19">
        <f>Summary_TG!G22</f>
        <v>0</v>
      </c>
      <c r="F19" s="517">
        <f t="shared" si="4"/>
        <v>0</v>
      </c>
      <c r="G19" s="517">
        <f t="shared" si="5"/>
        <v>0</v>
      </c>
      <c r="H19" s="517">
        <f t="shared" si="6"/>
        <v>0</v>
      </c>
      <c r="I19" s="517">
        <f t="shared" si="7"/>
        <v>0</v>
      </c>
      <c r="J19" s="517">
        <f t="shared" si="8"/>
        <v>0</v>
      </c>
      <c r="K19" s="517">
        <f t="shared" si="9"/>
        <v>0</v>
      </c>
      <c r="L19" s="517"/>
      <c r="M19" s="517">
        <f>IF($B19=0,0,(((VLOOKUP(Summary_Services!$F19,lookup_salaries,8,FALSE))*$E19)))</f>
        <v>0</v>
      </c>
      <c r="N19" s="517">
        <f>IF($B19=0,0,(((VLOOKUP(Summary_Services!$F19,lookup_salaries,8,FALSE))*$E19)))</f>
        <v>0</v>
      </c>
      <c r="O19" s="517">
        <f>IF($B19=0,0,(((VLOOKUP(Summary_Services!$F19,lookup_salaries,8,FALSE))*$E19)))</f>
        <v>0</v>
      </c>
      <c r="P19" s="517">
        <f>IF($B19=0,0,(((VLOOKUP(Summary_Services!$F19,lookup_salaries,8,FALSE))*$E19)))</f>
        <v>0</v>
      </c>
      <c r="Q19" s="517">
        <f>IF($B19=0,0,(((VLOOKUP(Summary_Services!$F19,lookup_salaries,8,FALSE))*$E19)))</f>
        <v>0</v>
      </c>
      <c r="R19" s="517">
        <f>IF($B19=0,0,(((VLOOKUP(Summary_Services!$F19,lookup_salaries,8,FALSE))*$E19)))</f>
        <v>0</v>
      </c>
      <c r="S19" s="517"/>
      <c r="T19" s="517">
        <f>IF(Summary_Services!Y19=0,0,Summary_TG!Q22/Summary_Services!Y19)</f>
        <v>0</v>
      </c>
      <c r="U19" s="517">
        <f>IF(Summary_Services!Z19=0,0,Summary_TG!R22/Summary_Services!Z19)</f>
        <v>0</v>
      </c>
      <c r="V19" s="517">
        <f>IF(Summary_Services!AA19=0,0,Summary_TG!S22/Summary_Services!AA19)</f>
        <v>0</v>
      </c>
      <c r="W19" s="517">
        <f>IF(Summary_Services!AB19=0,0,Summary_TG!T22/Summary_Services!AB19)</f>
        <v>0</v>
      </c>
      <c r="X19" s="517">
        <f>IF(Summary_Services!AC19=0,0,Summary_TG!U22/Summary_Services!AC19)</f>
        <v>0</v>
      </c>
      <c r="Y19" s="517">
        <f>IF(Summary_Services!AD19=0,0,Summary_TG!V22/Summary_Services!AD19)</f>
        <v>0</v>
      </c>
      <c r="Z19" s="517"/>
      <c r="AA19" s="517">
        <f>Summary_Services!R19</f>
        <v>0</v>
      </c>
      <c r="AB19" s="517">
        <f>Summary_Services!S19</f>
        <v>0</v>
      </c>
      <c r="AC19" s="517">
        <f>Summary_Services!T19</f>
        <v>0</v>
      </c>
      <c r="AD19" s="517">
        <f>Summary_Services!U19</f>
        <v>0</v>
      </c>
      <c r="AE19" s="517">
        <f>Summary_Services!V19</f>
        <v>0</v>
      </c>
      <c r="AF19" s="517">
        <f>Summary_Services!W19</f>
        <v>0</v>
      </c>
      <c r="AG19" s="517"/>
      <c r="AH19" s="517">
        <f t="shared" si="10"/>
        <v>0</v>
      </c>
      <c r="AI19" s="517">
        <f t="shared" si="11"/>
        <v>0</v>
      </c>
      <c r="AJ19" s="517">
        <f t="shared" si="12"/>
        <v>0</v>
      </c>
      <c r="AK19" s="517">
        <f t="shared" si="13"/>
        <v>0</v>
      </c>
      <c r="AL19" s="517">
        <f t="shared" si="14"/>
        <v>0</v>
      </c>
      <c r="AM19" s="517">
        <f t="shared" si="15"/>
        <v>0</v>
      </c>
      <c r="AN19" s="517"/>
      <c r="AO19" s="517">
        <f t="shared" si="16"/>
        <v>0</v>
      </c>
      <c r="AP19" s="517">
        <f t="shared" si="17"/>
        <v>0</v>
      </c>
      <c r="AQ19" s="517">
        <f t="shared" si="18"/>
        <v>0</v>
      </c>
      <c r="AR19" s="517">
        <f t="shared" si="19"/>
        <v>0</v>
      </c>
      <c r="AS19" s="517">
        <f t="shared" si="20"/>
        <v>0</v>
      </c>
      <c r="AT19" s="517">
        <f t="shared" si="21"/>
        <v>0</v>
      </c>
      <c r="AU19" s="517"/>
      <c r="AV19" s="517">
        <f t="shared" si="22"/>
        <v>0</v>
      </c>
      <c r="AW19" s="517">
        <f t="shared" si="23"/>
        <v>0</v>
      </c>
      <c r="AX19" s="517">
        <f t="shared" si="24"/>
        <v>0</v>
      </c>
      <c r="AY19" s="517">
        <f t="shared" si="25"/>
        <v>0</v>
      </c>
      <c r="AZ19" s="517">
        <f t="shared" si="26"/>
        <v>0</v>
      </c>
      <c r="BA19" s="517">
        <f t="shared" si="27"/>
        <v>0</v>
      </c>
      <c r="BB19" s="517"/>
      <c r="BC19" s="517" t="e">
        <f>+AH19/Demography!C$10</f>
        <v>#DIV/0!</v>
      </c>
      <c r="BD19" s="517" t="e">
        <f>+AI19/Demography!D$10</f>
        <v>#DIV/0!</v>
      </c>
      <c r="BE19" s="517" t="e">
        <f>+AJ19/Demography!E$10</f>
        <v>#DIV/0!</v>
      </c>
      <c r="BF19" s="517" t="e">
        <f>+AK19/Demography!F$10</f>
        <v>#DIV/0!</v>
      </c>
      <c r="BG19" s="517" t="e">
        <f>+AL19/Demography!G$10</f>
        <v>#DIV/0!</v>
      </c>
      <c r="BH19" s="517" t="e">
        <f>+AM19/Demography!H$10</f>
        <v>#DIV/0!</v>
      </c>
    </row>
    <row r="20" spans="1:60">
      <c r="A20" s="578">
        <v>15</v>
      </c>
      <c r="B20" s="4">
        <f>Summary_TG!B23</f>
        <v>0</v>
      </c>
      <c r="C20" s="4">
        <f>Summary_TG!C23</f>
        <v>0</v>
      </c>
      <c r="D20">
        <f>Summary_Services!E20</f>
        <v>0</v>
      </c>
      <c r="E20">
        <f>Summary_TG!G23</f>
        <v>0</v>
      </c>
      <c r="F20" s="517">
        <f t="shared" si="4"/>
        <v>0</v>
      </c>
      <c r="G20" s="517">
        <f t="shared" si="5"/>
        <v>0</v>
      </c>
      <c r="H20" s="517">
        <f t="shared" si="6"/>
        <v>0</v>
      </c>
      <c r="I20" s="517">
        <f t="shared" si="7"/>
        <v>0</v>
      </c>
      <c r="J20" s="517">
        <f t="shared" si="8"/>
        <v>0</v>
      </c>
      <c r="K20" s="517">
        <f t="shared" si="9"/>
        <v>0</v>
      </c>
      <c r="L20" s="517"/>
      <c r="M20" s="517">
        <f>IF($B20=0,0,(((VLOOKUP(Summary_Services!$F20,lookup_salaries,8,FALSE))*$E20)))</f>
        <v>0</v>
      </c>
      <c r="N20" s="517">
        <f>IF($B20=0,0,(((VLOOKUP(Summary_Services!$F20,lookup_salaries,8,FALSE))*$E20)))</f>
        <v>0</v>
      </c>
      <c r="O20" s="517">
        <f>IF($B20=0,0,(((VLOOKUP(Summary_Services!$F20,lookup_salaries,8,FALSE))*$E20)))</f>
        <v>0</v>
      </c>
      <c r="P20" s="517">
        <f>IF($B20=0,0,(((VLOOKUP(Summary_Services!$F20,lookup_salaries,8,FALSE))*$E20)))</f>
        <v>0</v>
      </c>
      <c r="Q20" s="517">
        <f>IF($B20=0,0,(((VLOOKUP(Summary_Services!$F20,lookup_salaries,8,FALSE))*$E20)))</f>
        <v>0</v>
      </c>
      <c r="R20" s="517">
        <f>IF($B20=0,0,(((VLOOKUP(Summary_Services!$F20,lookup_salaries,8,FALSE))*$E20)))</f>
        <v>0</v>
      </c>
      <c r="S20" s="517"/>
      <c r="T20" s="517">
        <f>IF(Summary_Services!Y20=0,0,Summary_TG!Q23/Summary_Services!Y20)</f>
        <v>0</v>
      </c>
      <c r="U20" s="517">
        <f>IF(Summary_Services!Z20=0,0,Summary_TG!R23/Summary_Services!Z20)</f>
        <v>0</v>
      </c>
      <c r="V20" s="517">
        <f>IF(Summary_Services!AA20=0,0,Summary_TG!S23/Summary_Services!AA20)</f>
        <v>0</v>
      </c>
      <c r="W20" s="517">
        <f>IF(Summary_Services!AB20=0,0,Summary_TG!T23/Summary_Services!AB20)</f>
        <v>0</v>
      </c>
      <c r="X20" s="517">
        <f>IF(Summary_Services!AC20=0,0,Summary_TG!U23/Summary_Services!AC20)</f>
        <v>0</v>
      </c>
      <c r="Y20" s="517">
        <f>IF(Summary_Services!AD20=0,0,Summary_TG!V23/Summary_Services!AD20)</f>
        <v>0</v>
      </c>
      <c r="Z20" s="517"/>
      <c r="AA20" s="517">
        <f>Summary_Services!R20</f>
        <v>0</v>
      </c>
      <c r="AB20" s="517">
        <f>Summary_Services!S20</f>
        <v>0</v>
      </c>
      <c r="AC20" s="517">
        <f>Summary_Services!T20</f>
        <v>0</v>
      </c>
      <c r="AD20" s="517">
        <f>Summary_Services!U20</f>
        <v>0</v>
      </c>
      <c r="AE20" s="517">
        <f>Summary_Services!V20</f>
        <v>0</v>
      </c>
      <c r="AF20" s="517">
        <f>Summary_Services!W20</f>
        <v>0</v>
      </c>
      <c r="AG20" s="517"/>
      <c r="AH20" s="517">
        <f t="shared" si="10"/>
        <v>0</v>
      </c>
      <c r="AI20" s="517">
        <f t="shared" si="11"/>
        <v>0</v>
      </c>
      <c r="AJ20" s="517">
        <f t="shared" si="12"/>
        <v>0</v>
      </c>
      <c r="AK20" s="517">
        <f t="shared" si="13"/>
        <v>0</v>
      </c>
      <c r="AL20" s="517">
        <f t="shared" si="14"/>
        <v>0</v>
      </c>
      <c r="AM20" s="517">
        <f t="shared" si="15"/>
        <v>0</v>
      </c>
      <c r="AN20" s="517"/>
      <c r="AO20" s="517">
        <f t="shared" si="16"/>
        <v>0</v>
      </c>
      <c r="AP20" s="517">
        <f t="shared" si="17"/>
        <v>0</v>
      </c>
      <c r="AQ20" s="517">
        <f t="shared" si="18"/>
        <v>0</v>
      </c>
      <c r="AR20" s="517">
        <f t="shared" si="19"/>
        <v>0</v>
      </c>
      <c r="AS20" s="517">
        <f t="shared" si="20"/>
        <v>0</v>
      </c>
      <c r="AT20" s="517">
        <f t="shared" si="21"/>
        <v>0</v>
      </c>
      <c r="AU20" s="517"/>
      <c r="AV20" s="517">
        <f t="shared" si="22"/>
        <v>0</v>
      </c>
      <c r="AW20" s="517">
        <f t="shared" si="23"/>
        <v>0</v>
      </c>
      <c r="AX20" s="517">
        <f t="shared" si="24"/>
        <v>0</v>
      </c>
      <c r="AY20" s="517">
        <f t="shared" si="25"/>
        <v>0</v>
      </c>
      <c r="AZ20" s="517">
        <f t="shared" si="26"/>
        <v>0</v>
      </c>
      <c r="BA20" s="517">
        <f t="shared" si="27"/>
        <v>0</v>
      </c>
      <c r="BB20" s="517"/>
      <c r="BC20" s="517" t="e">
        <f>+AH20/Demography!C$10</f>
        <v>#DIV/0!</v>
      </c>
      <c r="BD20" s="517" t="e">
        <f>+AI20/Demography!D$10</f>
        <v>#DIV/0!</v>
      </c>
      <c r="BE20" s="517" t="e">
        <f>+AJ20/Demography!E$10</f>
        <v>#DIV/0!</v>
      </c>
      <c r="BF20" s="517" t="e">
        <f>+AK20/Demography!F$10</f>
        <v>#DIV/0!</v>
      </c>
      <c r="BG20" s="517" t="e">
        <f>+AL20/Demography!G$10</f>
        <v>#DIV/0!</v>
      </c>
      <c r="BH20" s="517" t="e">
        <f>+AM20/Demography!H$10</f>
        <v>#DIV/0!</v>
      </c>
    </row>
    <row r="21" spans="1:60">
      <c r="A21" s="578">
        <v>16</v>
      </c>
      <c r="B21" s="4">
        <f>Summary_TG!B24</f>
        <v>0</v>
      </c>
      <c r="C21" s="4">
        <f>Summary_TG!C24</f>
        <v>0</v>
      </c>
      <c r="D21">
        <f>Summary_Services!E21</f>
        <v>0</v>
      </c>
      <c r="E21">
        <f>Summary_TG!G24</f>
        <v>0</v>
      </c>
      <c r="F21" s="517">
        <f t="shared" si="4"/>
        <v>0</v>
      </c>
      <c r="G21" s="517">
        <f t="shared" si="5"/>
        <v>0</v>
      </c>
      <c r="H21" s="517">
        <f t="shared" si="6"/>
        <v>0</v>
      </c>
      <c r="I21" s="517">
        <f t="shared" si="7"/>
        <v>0</v>
      </c>
      <c r="J21" s="517">
        <f t="shared" si="8"/>
        <v>0</v>
      </c>
      <c r="K21" s="517">
        <f t="shared" si="9"/>
        <v>0</v>
      </c>
      <c r="L21" s="517"/>
      <c r="M21" s="517">
        <f>IF($B21=0,0,(((VLOOKUP(Summary_Services!$F21,lookup_salaries,8,FALSE))*$E21)))</f>
        <v>0</v>
      </c>
      <c r="N21" s="517">
        <f>IF($B21=0,0,(((VLOOKUP(Summary_Services!$F21,lookup_salaries,8,FALSE))*$E21)))</f>
        <v>0</v>
      </c>
      <c r="O21" s="517">
        <f>IF($B21=0,0,(((VLOOKUP(Summary_Services!$F21,lookup_salaries,8,FALSE))*$E21)))</f>
        <v>0</v>
      </c>
      <c r="P21" s="517">
        <f>IF($B21=0,0,(((VLOOKUP(Summary_Services!$F21,lookup_salaries,8,FALSE))*$E21)))</f>
        <v>0</v>
      </c>
      <c r="Q21" s="517">
        <f>IF($B21=0,0,(((VLOOKUP(Summary_Services!$F21,lookup_salaries,8,FALSE))*$E21)))</f>
        <v>0</v>
      </c>
      <c r="R21" s="517">
        <f>IF($B21=0,0,(((VLOOKUP(Summary_Services!$F21,lookup_salaries,8,FALSE))*$E21)))</f>
        <v>0</v>
      </c>
      <c r="S21" s="517"/>
      <c r="T21" s="517">
        <f>IF(Summary_Services!Y21=0,0,Summary_TG!Q24/Summary_Services!Y21)</f>
        <v>0</v>
      </c>
      <c r="U21" s="517">
        <f>IF(Summary_Services!Z21=0,0,Summary_TG!R24/Summary_Services!Z21)</f>
        <v>0</v>
      </c>
      <c r="V21" s="517">
        <f>IF(Summary_Services!AA21=0,0,Summary_TG!S24/Summary_Services!AA21)</f>
        <v>0</v>
      </c>
      <c r="W21" s="517">
        <f>IF(Summary_Services!AB21=0,0,Summary_TG!T24/Summary_Services!AB21)</f>
        <v>0</v>
      </c>
      <c r="X21" s="517">
        <f>IF(Summary_Services!AC21=0,0,Summary_TG!U24/Summary_Services!AC21)</f>
        <v>0</v>
      </c>
      <c r="Y21" s="517">
        <f>IF(Summary_Services!AD21=0,0,Summary_TG!V24/Summary_Services!AD21)</f>
        <v>0</v>
      </c>
      <c r="Z21" s="517"/>
      <c r="AA21" s="517">
        <f>Summary_Services!R21</f>
        <v>0</v>
      </c>
      <c r="AB21" s="517">
        <f>Summary_Services!S21</f>
        <v>0</v>
      </c>
      <c r="AC21" s="517">
        <f>Summary_Services!T21</f>
        <v>0</v>
      </c>
      <c r="AD21" s="517">
        <f>Summary_Services!U21</f>
        <v>0</v>
      </c>
      <c r="AE21" s="517">
        <f>Summary_Services!V21</f>
        <v>0</v>
      </c>
      <c r="AF21" s="517">
        <f>Summary_Services!W21</f>
        <v>0</v>
      </c>
      <c r="AG21" s="517"/>
      <c r="AH21" s="517">
        <f t="shared" si="10"/>
        <v>0</v>
      </c>
      <c r="AI21" s="517">
        <f t="shared" si="11"/>
        <v>0</v>
      </c>
      <c r="AJ21" s="517">
        <f t="shared" si="12"/>
        <v>0</v>
      </c>
      <c r="AK21" s="517">
        <f t="shared" si="13"/>
        <v>0</v>
      </c>
      <c r="AL21" s="517">
        <f t="shared" si="14"/>
        <v>0</v>
      </c>
      <c r="AM21" s="517">
        <f t="shared" si="15"/>
        <v>0</v>
      </c>
      <c r="AN21" s="517"/>
      <c r="AO21" s="517">
        <f t="shared" si="16"/>
        <v>0</v>
      </c>
      <c r="AP21" s="517">
        <f t="shared" si="17"/>
        <v>0</v>
      </c>
      <c r="AQ21" s="517">
        <f t="shared" si="18"/>
        <v>0</v>
      </c>
      <c r="AR21" s="517">
        <f t="shared" si="19"/>
        <v>0</v>
      </c>
      <c r="AS21" s="517">
        <f t="shared" si="20"/>
        <v>0</v>
      </c>
      <c r="AT21" s="517">
        <f t="shared" si="21"/>
        <v>0</v>
      </c>
      <c r="AU21" s="517"/>
      <c r="AV21" s="517">
        <f t="shared" si="22"/>
        <v>0</v>
      </c>
      <c r="AW21" s="517">
        <f t="shared" si="23"/>
        <v>0</v>
      </c>
      <c r="AX21" s="517">
        <f t="shared" si="24"/>
        <v>0</v>
      </c>
      <c r="AY21" s="517">
        <f t="shared" si="25"/>
        <v>0</v>
      </c>
      <c r="AZ21" s="517">
        <f t="shared" si="26"/>
        <v>0</v>
      </c>
      <c r="BA21" s="517">
        <f t="shared" si="27"/>
        <v>0</v>
      </c>
      <c r="BB21" s="517"/>
      <c r="BC21" s="517" t="e">
        <f>+AH21/Demography!C$10</f>
        <v>#DIV/0!</v>
      </c>
      <c r="BD21" s="517" t="e">
        <f>+AI21/Demography!D$10</f>
        <v>#DIV/0!</v>
      </c>
      <c r="BE21" s="517" t="e">
        <f>+AJ21/Demography!E$10</f>
        <v>#DIV/0!</v>
      </c>
      <c r="BF21" s="517" t="e">
        <f>+AK21/Demography!F$10</f>
        <v>#DIV/0!</v>
      </c>
      <c r="BG21" s="517" t="e">
        <f>+AL21/Demography!G$10</f>
        <v>#DIV/0!</v>
      </c>
      <c r="BH21" s="517" t="e">
        <f>+AM21/Demography!H$10</f>
        <v>#DIV/0!</v>
      </c>
    </row>
    <row r="22" spans="1:60">
      <c r="A22" s="578">
        <v>17</v>
      </c>
      <c r="B22" s="4">
        <f>Summary_TG!B25</f>
        <v>0</v>
      </c>
      <c r="C22" s="4">
        <f>Summary_TG!C25</f>
        <v>0</v>
      </c>
      <c r="D22">
        <f>Summary_Services!E22</f>
        <v>0</v>
      </c>
      <c r="E22">
        <f>Summary_TG!G25</f>
        <v>0</v>
      </c>
      <c r="F22" s="517">
        <f t="shared" si="4"/>
        <v>0</v>
      </c>
      <c r="G22" s="517">
        <f t="shared" si="5"/>
        <v>0</v>
      </c>
      <c r="H22" s="517">
        <f t="shared" si="6"/>
        <v>0</v>
      </c>
      <c r="I22" s="517">
        <f t="shared" si="7"/>
        <v>0</v>
      </c>
      <c r="J22" s="517">
        <f t="shared" si="8"/>
        <v>0</v>
      </c>
      <c r="K22" s="517">
        <f t="shared" si="9"/>
        <v>0</v>
      </c>
      <c r="L22" s="517"/>
      <c r="M22" s="517">
        <f>IF($B22=0,0,(((VLOOKUP(Summary_Services!$F22,lookup_salaries,8,FALSE))*$E22)))</f>
        <v>0</v>
      </c>
      <c r="N22" s="517">
        <f>IF($B22=0,0,(((VLOOKUP(Summary_Services!$F22,lookup_salaries,8,FALSE))*$E22)))</f>
        <v>0</v>
      </c>
      <c r="O22" s="517">
        <f>IF($B22=0,0,(((VLOOKUP(Summary_Services!$F22,lookup_salaries,8,FALSE))*$E22)))</f>
        <v>0</v>
      </c>
      <c r="P22" s="517">
        <f>IF($B22=0,0,(((VLOOKUP(Summary_Services!$F22,lookup_salaries,8,FALSE))*$E22)))</f>
        <v>0</v>
      </c>
      <c r="Q22" s="517">
        <f>IF($B22=0,0,(((VLOOKUP(Summary_Services!$F22,lookup_salaries,8,FALSE))*$E22)))</f>
        <v>0</v>
      </c>
      <c r="R22" s="517">
        <f>IF($B22=0,0,(((VLOOKUP(Summary_Services!$F22,lookup_salaries,8,FALSE))*$E22)))</f>
        <v>0</v>
      </c>
      <c r="S22" s="517"/>
      <c r="T22" s="517">
        <f>IF(Summary_Services!Y22=0,0,Summary_TG!Q25/Summary_Services!Y22)</f>
        <v>0</v>
      </c>
      <c r="U22" s="517">
        <f>IF(Summary_Services!Z22=0,0,Summary_TG!R25/Summary_Services!Z22)</f>
        <v>0</v>
      </c>
      <c r="V22" s="517">
        <f>IF(Summary_Services!AA22=0,0,Summary_TG!S25/Summary_Services!AA22)</f>
        <v>0</v>
      </c>
      <c r="W22" s="517">
        <f>IF(Summary_Services!AB22=0,0,Summary_TG!T25/Summary_Services!AB22)</f>
        <v>0</v>
      </c>
      <c r="X22" s="517">
        <f>IF(Summary_Services!AC22=0,0,Summary_TG!U25/Summary_Services!AC22)</f>
        <v>0</v>
      </c>
      <c r="Y22" s="517">
        <f>IF(Summary_Services!AD22=0,0,Summary_TG!V25/Summary_Services!AD22)</f>
        <v>0</v>
      </c>
      <c r="Z22" s="517"/>
      <c r="AA22" s="517">
        <f>Summary_Services!R22</f>
        <v>0</v>
      </c>
      <c r="AB22" s="517">
        <f>Summary_Services!S22</f>
        <v>0</v>
      </c>
      <c r="AC22" s="517">
        <f>Summary_Services!T22</f>
        <v>0</v>
      </c>
      <c r="AD22" s="517">
        <f>Summary_Services!U22</f>
        <v>0</v>
      </c>
      <c r="AE22" s="517">
        <f>Summary_Services!V22</f>
        <v>0</v>
      </c>
      <c r="AF22" s="517">
        <f>Summary_Services!W22</f>
        <v>0</v>
      </c>
      <c r="AG22" s="517"/>
      <c r="AH22" s="517">
        <f t="shared" si="10"/>
        <v>0</v>
      </c>
      <c r="AI22" s="517">
        <f t="shared" si="11"/>
        <v>0</v>
      </c>
      <c r="AJ22" s="517">
        <f t="shared" si="12"/>
        <v>0</v>
      </c>
      <c r="AK22" s="517">
        <f t="shared" si="13"/>
        <v>0</v>
      </c>
      <c r="AL22" s="517">
        <f t="shared" si="14"/>
        <v>0</v>
      </c>
      <c r="AM22" s="517">
        <f t="shared" si="15"/>
        <v>0</v>
      </c>
      <c r="AN22" s="517"/>
      <c r="AO22" s="517">
        <f t="shared" si="16"/>
        <v>0</v>
      </c>
      <c r="AP22" s="517">
        <f t="shared" si="17"/>
        <v>0</v>
      </c>
      <c r="AQ22" s="517">
        <f t="shared" si="18"/>
        <v>0</v>
      </c>
      <c r="AR22" s="517">
        <f t="shared" si="19"/>
        <v>0</v>
      </c>
      <c r="AS22" s="517">
        <f t="shared" si="20"/>
        <v>0</v>
      </c>
      <c r="AT22" s="517">
        <f t="shared" si="21"/>
        <v>0</v>
      </c>
      <c r="AU22" s="517"/>
      <c r="AV22" s="517">
        <f t="shared" si="22"/>
        <v>0</v>
      </c>
      <c r="AW22" s="517">
        <f t="shared" si="23"/>
        <v>0</v>
      </c>
      <c r="AX22" s="517">
        <f t="shared" si="24"/>
        <v>0</v>
      </c>
      <c r="AY22" s="517">
        <f t="shared" si="25"/>
        <v>0</v>
      </c>
      <c r="AZ22" s="517">
        <f t="shared" si="26"/>
        <v>0</v>
      </c>
      <c r="BA22" s="517">
        <f t="shared" si="27"/>
        <v>0</v>
      </c>
      <c r="BB22" s="517"/>
      <c r="BC22" s="517" t="e">
        <f>+AH22/Demography!C$10</f>
        <v>#DIV/0!</v>
      </c>
      <c r="BD22" s="517" t="e">
        <f>+AI22/Demography!D$10</f>
        <v>#DIV/0!</v>
      </c>
      <c r="BE22" s="517" t="e">
        <f>+AJ22/Demography!E$10</f>
        <v>#DIV/0!</v>
      </c>
      <c r="BF22" s="517" t="e">
        <f>+AK22/Demography!F$10</f>
        <v>#DIV/0!</v>
      </c>
      <c r="BG22" s="517" t="e">
        <f>+AL22/Demography!G$10</f>
        <v>#DIV/0!</v>
      </c>
      <c r="BH22" s="517" t="e">
        <f>+AM22/Demography!H$10</f>
        <v>#DIV/0!</v>
      </c>
    </row>
    <row r="23" spans="1:60">
      <c r="A23" s="578">
        <v>18</v>
      </c>
      <c r="B23" s="4">
        <f>Summary_TG!B26</f>
        <v>0</v>
      </c>
      <c r="C23" s="4">
        <f>Summary_TG!C26</f>
        <v>0</v>
      </c>
      <c r="D23">
        <f>Summary_Services!E23</f>
        <v>0</v>
      </c>
      <c r="E23">
        <f>Summary_TG!G26</f>
        <v>0</v>
      </c>
      <c r="F23" s="517">
        <f t="shared" si="4"/>
        <v>0</v>
      </c>
      <c r="G23" s="517">
        <f t="shared" si="5"/>
        <v>0</v>
      </c>
      <c r="H23" s="517">
        <f t="shared" si="6"/>
        <v>0</v>
      </c>
      <c r="I23" s="517">
        <f t="shared" si="7"/>
        <v>0</v>
      </c>
      <c r="J23" s="517">
        <f t="shared" si="8"/>
        <v>0</v>
      </c>
      <c r="K23" s="517">
        <f t="shared" si="9"/>
        <v>0</v>
      </c>
      <c r="L23" s="517"/>
      <c r="M23" s="517">
        <f>IF($B23=0,0,(((VLOOKUP(Summary_Services!$F23,lookup_salaries,8,FALSE))*$E23)))</f>
        <v>0</v>
      </c>
      <c r="N23" s="517">
        <f>IF($B23=0,0,(((VLOOKUP(Summary_Services!$F23,lookup_salaries,8,FALSE))*$E23)))</f>
        <v>0</v>
      </c>
      <c r="O23" s="517">
        <f>IF($B23=0,0,(((VLOOKUP(Summary_Services!$F23,lookup_salaries,8,FALSE))*$E23)))</f>
        <v>0</v>
      </c>
      <c r="P23" s="517">
        <f>IF($B23=0,0,(((VLOOKUP(Summary_Services!$F23,lookup_salaries,8,FALSE))*$E23)))</f>
        <v>0</v>
      </c>
      <c r="Q23" s="517">
        <f>IF($B23=0,0,(((VLOOKUP(Summary_Services!$F23,lookup_salaries,8,FALSE))*$E23)))</f>
        <v>0</v>
      </c>
      <c r="R23" s="517">
        <f>IF($B23=0,0,(((VLOOKUP(Summary_Services!$F23,lookup_salaries,8,FALSE))*$E23)))</f>
        <v>0</v>
      </c>
      <c r="S23" s="517"/>
      <c r="T23" s="517">
        <f>IF(Summary_Services!Y23=0,0,Summary_TG!Q26/Summary_Services!Y23)</f>
        <v>0</v>
      </c>
      <c r="U23" s="517">
        <f>IF(Summary_Services!Z23=0,0,Summary_TG!R26/Summary_Services!Z23)</f>
        <v>0</v>
      </c>
      <c r="V23" s="517">
        <f>IF(Summary_Services!AA23=0,0,Summary_TG!S26/Summary_Services!AA23)</f>
        <v>0</v>
      </c>
      <c r="W23" s="517">
        <f>IF(Summary_Services!AB23=0,0,Summary_TG!T26/Summary_Services!AB23)</f>
        <v>0</v>
      </c>
      <c r="X23" s="517">
        <f>IF(Summary_Services!AC23=0,0,Summary_TG!U26/Summary_Services!AC23)</f>
        <v>0</v>
      </c>
      <c r="Y23" s="517">
        <f>IF(Summary_Services!AD23=0,0,Summary_TG!V26/Summary_Services!AD23)</f>
        <v>0</v>
      </c>
      <c r="Z23" s="517"/>
      <c r="AA23" s="517">
        <f>Summary_Services!R23</f>
        <v>0</v>
      </c>
      <c r="AB23" s="517">
        <f>Summary_Services!S23</f>
        <v>0</v>
      </c>
      <c r="AC23" s="517">
        <f>Summary_Services!T23</f>
        <v>0</v>
      </c>
      <c r="AD23" s="517">
        <f>Summary_Services!U23</f>
        <v>0</v>
      </c>
      <c r="AE23" s="517">
        <f>Summary_Services!V23</f>
        <v>0</v>
      </c>
      <c r="AF23" s="517">
        <f>Summary_Services!W23</f>
        <v>0</v>
      </c>
      <c r="AG23" s="517"/>
      <c r="AH23" s="517">
        <f t="shared" si="10"/>
        <v>0</v>
      </c>
      <c r="AI23" s="517">
        <f t="shared" si="11"/>
        <v>0</v>
      </c>
      <c r="AJ23" s="517">
        <f t="shared" si="12"/>
        <v>0</v>
      </c>
      <c r="AK23" s="517">
        <f t="shared" si="13"/>
        <v>0</v>
      </c>
      <c r="AL23" s="517">
        <f t="shared" si="14"/>
        <v>0</v>
      </c>
      <c r="AM23" s="517">
        <f t="shared" si="15"/>
        <v>0</v>
      </c>
      <c r="AN23" s="517"/>
      <c r="AO23" s="517">
        <f t="shared" si="16"/>
        <v>0</v>
      </c>
      <c r="AP23" s="517">
        <f t="shared" si="17"/>
        <v>0</v>
      </c>
      <c r="AQ23" s="517">
        <f t="shared" si="18"/>
        <v>0</v>
      </c>
      <c r="AR23" s="517">
        <f t="shared" si="19"/>
        <v>0</v>
      </c>
      <c r="AS23" s="517">
        <f t="shared" si="20"/>
        <v>0</v>
      </c>
      <c r="AT23" s="517">
        <f t="shared" si="21"/>
        <v>0</v>
      </c>
      <c r="AU23" s="517"/>
      <c r="AV23" s="517">
        <f t="shared" si="22"/>
        <v>0</v>
      </c>
      <c r="AW23" s="517">
        <f t="shared" si="23"/>
        <v>0</v>
      </c>
      <c r="AX23" s="517">
        <f t="shared" si="24"/>
        <v>0</v>
      </c>
      <c r="AY23" s="517">
        <f t="shared" si="25"/>
        <v>0</v>
      </c>
      <c r="AZ23" s="517">
        <f t="shared" si="26"/>
        <v>0</v>
      </c>
      <c r="BA23" s="517">
        <f t="shared" si="27"/>
        <v>0</v>
      </c>
      <c r="BB23" s="517"/>
      <c r="BC23" s="517" t="e">
        <f>+AH23/Demography!C$10</f>
        <v>#DIV/0!</v>
      </c>
      <c r="BD23" s="517" t="e">
        <f>+AI23/Demography!D$10</f>
        <v>#DIV/0!</v>
      </c>
      <c r="BE23" s="517" t="e">
        <f>+AJ23/Demography!E$10</f>
        <v>#DIV/0!</v>
      </c>
      <c r="BF23" s="517" t="e">
        <f>+AK23/Demography!F$10</f>
        <v>#DIV/0!</v>
      </c>
      <c r="BG23" s="517" t="e">
        <f>+AL23/Demography!G$10</f>
        <v>#DIV/0!</v>
      </c>
      <c r="BH23" s="517" t="e">
        <f>+AM23/Demography!H$10</f>
        <v>#DIV/0!</v>
      </c>
    </row>
    <row r="24" spans="1:60">
      <c r="A24" s="578">
        <v>19</v>
      </c>
      <c r="B24" s="4">
        <f>Summary_TG!B27</f>
        <v>0</v>
      </c>
      <c r="C24" s="4">
        <f>Summary_TG!C27</f>
        <v>0</v>
      </c>
      <c r="D24">
        <f>Summary_Services!E24</f>
        <v>0</v>
      </c>
      <c r="E24">
        <f>Summary_TG!G27</f>
        <v>0</v>
      </c>
      <c r="F24" s="517">
        <f t="shared" si="4"/>
        <v>0</v>
      </c>
      <c r="G24" s="517">
        <f t="shared" si="5"/>
        <v>0</v>
      </c>
      <c r="H24" s="517">
        <f t="shared" si="6"/>
        <v>0</v>
      </c>
      <c r="I24" s="517">
        <f t="shared" si="7"/>
        <v>0</v>
      </c>
      <c r="J24" s="517">
        <f t="shared" si="8"/>
        <v>0</v>
      </c>
      <c r="K24" s="517">
        <f t="shared" si="9"/>
        <v>0</v>
      </c>
      <c r="L24" s="517"/>
      <c r="M24" s="517">
        <f>IF($B24=0,0,(((VLOOKUP(Summary_Services!$F24,lookup_salaries,8,FALSE))*$E24)))</f>
        <v>0</v>
      </c>
      <c r="N24" s="517">
        <f>IF($B24=0,0,(((VLOOKUP(Summary_Services!$F24,lookup_salaries,8,FALSE))*$E24)))</f>
        <v>0</v>
      </c>
      <c r="O24" s="517">
        <f>IF($B24=0,0,(((VLOOKUP(Summary_Services!$F24,lookup_salaries,8,FALSE))*$E24)))</f>
        <v>0</v>
      </c>
      <c r="P24" s="517">
        <f>IF($B24=0,0,(((VLOOKUP(Summary_Services!$F24,lookup_salaries,8,FALSE))*$E24)))</f>
        <v>0</v>
      </c>
      <c r="Q24" s="517">
        <f>IF($B24=0,0,(((VLOOKUP(Summary_Services!$F24,lookup_salaries,8,FALSE))*$E24)))</f>
        <v>0</v>
      </c>
      <c r="R24" s="517">
        <f>IF($B24=0,0,(((VLOOKUP(Summary_Services!$F24,lookup_salaries,8,FALSE))*$E24)))</f>
        <v>0</v>
      </c>
      <c r="S24" s="517"/>
      <c r="T24" s="517">
        <f>IF(Summary_Services!Y24=0,0,Summary_TG!Q27/Summary_Services!Y24)</f>
        <v>0</v>
      </c>
      <c r="U24" s="517">
        <f>IF(Summary_Services!Z24=0,0,Summary_TG!R27/Summary_Services!Z24)</f>
        <v>0</v>
      </c>
      <c r="V24" s="517">
        <f>IF(Summary_Services!AA24=0,0,Summary_TG!S27/Summary_Services!AA24)</f>
        <v>0</v>
      </c>
      <c r="W24" s="517">
        <f>IF(Summary_Services!AB24=0,0,Summary_TG!T27/Summary_Services!AB24)</f>
        <v>0</v>
      </c>
      <c r="X24" s="517">
        <f>IF(Summary_Services!AC24=0,0,Summary_TG!U27/Summary_Services!AC24)</f>
        <v>0</v>
      </c>
      <c r="Y24" s="517">
        <f>IF(Summary_Services!AD24=0,0,Summary_TG!V27/Summary_Services!AD24)</f>
        <v>0</v>
      </c>
      <c r="Z24" s="517"/>
      <c r="AA24" s="517">
        <f>Summary_Services!R24</f>
        <v>0</v>
      </c>
      <c r="AB24" s="517">
        <f>Summary_Services!S24</f>
        <v>0</v>
      </c>
      <c r="AC24" s="517">
        <f>Summary_Services!T24</f>
        <v>0</v>
      </c>
      <c r="AD24" s="517">
        <f>Summary_Services!U24</f>
        <v>0</v>
      </c>
      <c r="AE24" s="517">
        <f>Summary_Services!V24</f>
        <v>0</v>
      </c>
      <c r="AF24" s="517">
        <f>Summary_Services!W24</f>
        <v>0</v>
      </c>
      <c r="AG24" s="517"/>
      <c r="AH24" s="517">
        <f t="shared" si="10"/>
        <v>0</v>
      </c>
      <c r="AI24" s="517">
        <f t="shared" si="11"/>
        <v>0</v>
      </c>
      <c r="AJ24" s="517">
        <f t="shared" si="12"/>
        <v>0</v>
      </c>
      <c r="AK24" s="517">
        <f t="shared" si="13"/>
        <v>0</v>
      </c>
      <c r="AL24" s="517">
        <f t="shared" si="14"/>
        <v>0</v>
      </c>
      <c r="AM24" s="517">
        <f t="shared" si="15"/>
        <v>0</v>
      </c>
      <c r="AN24" s="517"/>
      <c r="AO24" s="517">
        <f t="shared" si="16"/>
        <v>0</v>
      </c>
      <c r="AP24" s="517">
        <f t="shared" si="17"/>
        <v>0</v>
      </c>
      <c r="AQ24" s="517">
        <f t="shared" si="18"/>
        <v>0</v>
      </c>
      <c r="AR24" s="517">
        <f t="shared" si="19"/>
        <v>0</v>
      </c>
      <c r="AS24" s="517">
        <f t="shared" si="20"/>
        <v>0</v>
      </c>
      <c r="AT24" s="517">
        <f t="shared" si="21"/>
        <v>0</v>
      </c>
      <c r="AU24" s="517"/>
      <c r="AV24" s="517">
        <f t="shared" si="22"/>
        <v>0</v>
      </c>
      <c r="AW24" s="517">
        <f t="shared" si="23"/>
        <v>0</v>
      </c>
      <c r="AX24" s="517">
        <f t="shared" si="24"/>
        <v>0</v>
      </c>
      <c r="AY24" s="517">
        <f t="shared" si="25"/>
        <v>0</v>
      </c>
      <c r="AZ24" s="517">
        <f t="shared" si="26"/>
        <v>0</v>
      </c>
      <c r="BA24" s="517">
        <f t="shared" si="27"/>
        <v>0</v>
      </c>
      <c r="BB24" s="517"/>
      <c r="BC24" s="517" t="e">
        <f>+AH24/Demography!C$10</f>
        <v>#DIV/0!</v>
      </c>
      <c r="BD24" s="517" t="e">
        <f>+AI24/Demography!D$10</f>
        <v>#DIV/0!</v>
      </c>
      <c r="BE24" s="517" t="e">
        <f>+AJ24/Demography!E$10</f>
        <v>#DIV/0!</v>
      </c>
      <c r="BF24" s="517" t="e">
        <f>+AK24/Demography!F$10</f>
        <v>#DIV/0!</v>
      </c>
      <c r="BG24" s="517" t="e">
        <f>+AL24/Demography!G$10</f>
        <v>#DIV/0!</v>
      </c>
      <c r="BH24" s="517" t="e">
        <f>+AM24/Demography!H$10</f>
        <v>#DIV/0!</v>
      </c>
    </row>
    <row r="25" spans="1:60">
      <c r="A25" s="578">
        <v>20</v>
      </c>
      <c r="B25" s="4">
        <f>Summary_TG!B28</f>
        <v>0</v>
      </c>
      <c r="C25" s="4">
        <f>Summary_TG!C28</f>
        <v>0</v>
      </c>
      <c r="D25">
        <f>Summary_Services!E25</f>
        <v>0</v>
      </c>
      <c r="E25">
        <f>Summary_TG!G28</f>
        <v>0</v>
      </c>
      <c r="F25" s="517">
        <f t="shared" si="4"/>
        <v>0</v>
      </c>
      <c r="G25" s="517">
        <f t="shared" si="5"/>
        <v>0</v>
      </c>
      <c r="H25" s="517">
        <f t="shared" si="6"/>
        <v>0</v>
      </c>
      <c r="I25" s="517">
        <f t="shared" si="7"/>
        <v>0</v>
      </c>
      <c r="J25" s="517">
        <f t="shared" si="8"/>
        <v>0</v>
      </c>
      <c r="K25" s="517">
        <f t="shared" si="9"/>
        <v>0</v>
      </c>
      <c r="L25" s="517"/>
      <c r="M25" s="517">
        <f>IF($B25=0,0,(((VLOOKUP(Summary_Services!$F25,lookup_salaries,8,FALSE))*$E25)))</f>
        <v>0</v>
      </c>
      <c r="N25" s="517">
        <f>IF($B25=0,0,(((VLOOKUP(Summary_Services!$F25,lookup_salaries,8,FALSE))*$E25)))</f>
        <v>0</v>
      </c>
      <c r="O25" s="517">
        <f>IF($B25=0,0,(((VLOOKUP(Summary_Services!$F25,lookup_salaries,8,FALSE))*$E25)))</f>
        <v>0</v>
      </c>
      <c r="P25" s="517">
        <f>IF($B25=0,0,(((VLOOKUP(Summary_Services!$F25,lookup_salaries,8,FALSE))*$E25)))</f>
        <v>0</v>
      </c>
      <c r="Q25" s="517">
        <f>IF($B25=0,0,(((VLOOKUP(Summary_Services!$F25,lookup_salaries,8,FALSE))*$E25)))</f>
        <v>0</v>
      </c>
      <c r="R25" s="517">
        <f>IF($B25=0,0,(((VLOOKUP(Summary_Services!$F25,lookup_salaries,8,FALSE))*$E25)))</f>
        <v>0</v>
      </c>
      <c r="S25" s="517"/>
      <c r="T25" s="517">
        <f>IF(Summary_Services!Y25=0,0,Summary_TG!Q28/Summary_Services!Y25)</f>
        <v>0</v>
      </c>
      <c r="U25" s="517">
        <f>IF(Summary_Services!Z25=0,0,Summary_TG!R28/Summary_Services!Z25)</f>
        <v>0</v>
      </c>
      <c r="V25" s="517">
        <f>IF(Summary_Services!AA25=0,0,Summary_TG!S28/Summary_Services!AA25)</f>
        <v>0</v>
      </c>
      <c r="W25" s="517">
        <f>IF(Summary_Services!AB25=0,0,Summary_TG!T28/Summary_Services!AB25)</f>
        <v>0</v>
      </c>
      <c r="X25" s="517">
        <f>IF(Summary_Services!AC25=0,0,Summary_TG!U28/Summary_Services!AC25)</f>
        <v>0</v>
      </c>
      <c r="Y25" s="517">
        <f>IF(Summary_Services!AD25=0,0,Summary_TG!V28/Summary_Services!AD25)</f>
        <v>0</v>
      </c>
      <c r="Z25" s="517"/>
      <c r="AA25" s="517">
        <f>Summary_Services!R25</f>
        <v>0</v>
      </c>
      <c r="AB25" s="517">
        <f>Summary_Services!S25</f>
        <v>0</v>
      </c>
      <c r="AC25" s="517">
        <f>Summary_Services!T25</f>
        <v>0</v>
      </c>
      <c r="AD25" s="517">
        <f>Summary_Services!U25</f>
        <v>0</v>
      </c>
      <c r="AE25" s="517">
        <f>Summary_Services!V25</f>
        <v>0</v>
      </c>
      <c r="AF25" s="517">
        <f>Summary_Services!W25</f>
        <v>0</v>
      </c>
      <c r="AG25" s="517"/>
      <c r="AH25" s="517">
        <f t="shared" si="10"/>
        <v>0</v>
      </c>
      <c r="AI25" s="517">
        <f t="shared" si="11"/>
        <v>0</v>
      </c>
      <c r="AJ25" s="517">
        <f t="shared" si="12"/>
        <v>0</v>
      </c>
      <c r="AK25" s="517">
        <f t="shared" si="13"/>
        <v>0</v>
      </c>
      <c r="AL25" s="517">
        <f t="shared" si="14"/>
        <v>0</v>
      </c>
      <c r="AM25" s="517">
        <f t="shared" si="15"/>
        <v>0</v>
      </c>
      <c r="AN25" s="517"/>
      <c r="AO25" s="517">
        <f t="shared" si="16"/>
        <v>0</v>
      </c>
      <c r="AP25" s="517">
        <f t="shared" si="17"/>
        <v>0</v>
      </c>
      <c r="AQ25" s="517">
        <f t="shared" si="18"/>
        <v>0</v>
      </c>
      <c r="AR25" s="517">
        <f t="shared" si="19"/>
        <v>0</v>
      </c>
      <c r="AS25" s="517">
        <f t="shared" si="20"/>
        <v>0</v>
      </c>
      <c r="AT25" s="517">
        <f t="shared" si="21"/>
        <v>0</v>
      </c>
      <c r="AU25" s="517"/>
      <c r="AV25" s="517">
        <f t="shared" si="22"/>
        <v>0</v>
      </c>
      <c r="AW25" s="517">
        <f t="shared" si="23"/>
        <v>0</v>
      </c>
      <c r="AX25" s="517">
        <f t="shared" si="24"/>
        <v>0</v>
      </c>
      <c r="AY25" s="517">
        <f t="shared" si="25"/>
        <v>0</v>
      </c>
      <c r="AZ25" s="517">
        <f t="shared" si="26"/>
        <v>0</v>
      </c>
      <c r="BA25" s="517">
        <f t="shared" si="27"/>
        <v>0</v>
      </c>
      <c r="BB25" s="517"/>
      <c r="BC25" s="517" t="e">
        <f>+AH25/Demography!C$10</f>
        <v>#DIV/0!</v>
      </c>
      <c r="BD25" s="517" t="e">
        <f>+AI25/Demography!D$10</f>
        <v>#DIV/0!</v>
      </c>
      <c r="BE25" s="517" t="e">
        <f>+AJ25/Demography!E$10</f>
        <v>#DIV/0!</v>
      </c>
      <c r="BF25" s="517" t="e">
        <f>+AK25/Demography!F$10</f>
        <v>#DIV/0!</v>
      </c>
      <c r="BG25" s="517" t="e">
        <f>+AL25/Demography!G$10</f>
        <v>#DIV/0!</v>
      </c>
      <c r="BH25" s="517" t="e">
        <f>+AM25/Demography!H$10</f>
        <v>#DIV/0!</v>
      </c>
    </row>
    <row r="26" spans="1:60">
      <c r="A26" s="578">
        <v>21</v>
      </c>
      <c r="B26" s="4">
        <f>Summary_TG!B29</f>
        <v>0</v>
      </c>
      <c r="C26" s="4">
        <f>Summary_TG!C29</f>
        <v>0</v>
      </c>
      <c r="D26">
        <f>Summary_Services!E26</f>
        <v>0</v>
      </c>
      <c r="E26">
        <f>Summary_TG!G29</f>
        <v>0</v>
      </c>
      <c r="F26" s="517">
        <f t="shared" si="4"/>
        <v>0</v>
      </c>
      <c r="G26" s="517">
        <f t="shared" si="5"/>
        <v>0</v>
      </c>
      <c r="H26" s="517">
        <f t="shared" si="6"/>
        <v>0</v>
      </c>
      <c r="I26" s="517">
        <f t="shared" si="7"/>
        <v>0</v>
      </c>
      <c r="J26" s="517">
        <f t="shared" si="8"/>
        <v>0</v>
      </c>
      <c r="K26" s="517">
        <f t="shared" si="9"/>
        <v>0</v>
      </c>
      <c r="L26" s="517"/>
      <c r="M26" s="517">
        <f>IF($B26=0,0,(((VLOOKUP(Summary_Services!$F26,lookup_salaries,8,FALSE))*$E26)))</f>
        <v>0</v>
      </c>
      <c r="N26" s="517">
        <f>IF($B26=0,0,(((VLOOKUP(Summary_Services!$F26,lookup_salaries,8,FALSE))*$E26)))</f>
        <v>0</v>
      </c>
      <c r="O26" s="517">
        <f>IF($B26=0,0,(((VLOOKUP(Summary_Services!$F26,lookup_salaries,8,FALSE))*$E26)))</f>
        <v>0</v>
      </c>
      <c r="P26" s="517">
        <f>IF($B26=0,0,(((VLOOKUP(Summary_Services!$F26,lookup_salaries,8,FALSE))*$E26)))</f>
        <v>0</v>
      </c>
      <c r="Q26" s="517">
        <f>IF($B26=0,0,(((VLOOKUP(Summary_Services!$F26,lookup_salaries,8,FALSE))*$E26)))</f>
        <v>0</v>
      </c>
      <c r="R26" s="517">
        <f>IF($B26=0,0,(((VLOOKUP(Summary_Services!$F26,lookup_salaries,8,FALSE))*$E26)))</f>
        <v>0</v>
      </c>
      <c r="S26" s="517"/>
      <c r="T26" s="517">
        <f>IF(Summary_Services!Y26=0,0,Summary_TG!Q29/Summary_Services!Y26)</f>
        <v>0</v>
      </c>
      <c r="U26" s="517">
        <f>IF(Summary_Services!Z26=0,0,Summary_TG!R29/Summary_Services!Z26)</f>
        <v>0</v>
      </c>
      <c r="V26" s="517">
        <f>IF(Summary_Services!AA26=0,0,Summary_TG!S29/Summary_Services!AA26)</f>
        <v>0</v>
      </c>
      <c r="W26" s="517">
        <f>IF(Summary_Services!AB26=0,0,Summary_TG!T29/Summary_Services!AB26)</f>
        <v>0</v>
      </c>
      <c r="X26" s="517">
        <f>IF(Summary_Services!AC26=0,0,Summary_TG!U29/Summary_Services!AC26)</f>
        <v>0</v>
      </c>
      <c r="Y26" s="517">
        <f>IF(Summary_Services!AD26=0,0,Summary_TG!V29/Summary_Services!AD26)</f>
        <v>0</v>
      </c>
      <c r="Z26" s="517"/>
      <c r="AA26" s="517">
        <f>Summary_Services!R26</f>
        <v>0</v>
      </c>
      <c r="AB26" s="517">
        <f>Summary_Services!S26</f>
        <v>0</v>
      </c>
      <c r="AC26" s="517">
        <f>Summary_Services!T26</f>
        <v>0</v>
      </c>
      <c r="AD26" s="517">
        <f>Summary_Services!U26</f>
        <v>0</v>
      </c>
      <c r="AE26" s="517">
        <f>Summary_Services!V26</f>
        <v>0</v>
      </c>
      <c r="AF26" s="517">
        <f>Summary_Services!W26</f>
        <v>0</v>
      </c>
      <c r="AG26" s="517"/>
      <c r="AH26" s="517">
        <f t="shared" si="10"/>
        <v>0</v>
      </c>
      <c r="AI26" s="517">
        <f t="shared" si="11"/>
        <v>0</v>
      </c>
      <c r="AJ26" s="517">
        <f t="shared" si="12"/>
        <v>0</v>
      </c>
      <c r="AK26" s="517">
        <f t="shared" si="13"/>
        <v>0</v>
      </c>
      <c r="AL26" s="517">
        <f t="shared" si="14"/>
        <v>0</v>
      </c>
      <c r="AM26" s="517">
        <f t="shared" si="15"/>
        <v>0</v>
      </c>
      <c r="AN26" s="517"/>
      <c r="AO26" s="517">
        <f t="shared" si="16"/>
        <v>0</v>
      </c>
      <c r="AP26" s="517">
        <f t="shared" si="17"/>
        <v>0</v>
      </c>
      <c r="AQ26" s="517">
        <f t="shared" si="18"/>
        <v>0</v>
      </c>
      <c r="AR26" s="517">
        <f t="shared" si="19"/>
        <v>0</v>
      </c>
      <c r="AS26" s="517">
        <f t="shared" si="20"/>
        <v>0</v>
      </c>
      <c r="AT26" s="517">
        <f t="shared" si="21"/>
        <v>0</v>
      </c>
      <c r="AU26" s="517"/>
      <c r="AV26" s="517">
        <f t="shared" si="22"/>
        <v>0</v>
      </c>
      <c r="AW26" s="517">
        <f t="shared" si="23"/>
        <v>0</v>
      </c>
      <c r="AX26" s="517">
        <f t="shared" si="24"/>
        <v>0</v>
      </c>
      <c r="AY26" s="517">
        <f t="shared" si="25"/>
        <v>0</v>
      </c>
      <c r="AZ26" s="517">
        <f t="shared" si="26"/>
        <v>0</v>
      </c>
      <c r="BA26" s="517">
        <f t="shared" si="27"/>
        <v>0</v>
      </c>
      <c r="BB26" s="517"/>
      <c r="BC26" s="517" t="e">
        <f>+AH26/Demography!C$10</f>
        <v>#DIV/0!</v>
      </c>
      <c r="BD26" s="517" t="e">
        <f>+AI26/Demography!D$10</f>
        <v>#DIV/0!</v>
      </c>
      <c r="BE26" s="517" t="e">
        <f>+AJ26/Demography!E$10</f>
        <v>#DIV/0!</v>
      </c>
      <c r="BF26" s="517" t="e">
        <f>+AK26/Demography!F$10</f>
        <v>#DIV/0!</v>
      </c>
      <c r="BG26" s="517" t="e">
        <f>+AL26/Demography!G$10</f>
        <v>#DIV/0!</v>
      </c>
      <c r="BH26" s="517" t="e">
        <f>+AM26/Demography!H$10</f>
        <v>#DIV/0!</v>
      </c>
    </row>
    <row r="27" spans="1:60">
      <c r="A27" s="578">
        <v>22</v>
      </c>
      <c r="B27" s="4">
        <f>Summary_TG!B30</f>
        <v>0</v>
      </c>
      <c r="C27" s="4">
        <f>Summary_TG!C30</f>
        <v>0</v>
      </c>
      <c r="D27">
        <f>Summary_Services!E27</f>
        <v>0</v>
      </c>
      <c r="E27">
        <f>Summary_TG!G30</f>
        <v>0</v>
      </c>
      <c r="F27" s="517">
        <f t="shared" si="4"/>
        <v>0</v>
      </c>
      <c r="G27" s="517">
        <f t="shared" si="5"/>
        <v>0</v>
      </c>
      <c r="H27" s="517">
        <f t="shared" si="6"/>
        <v>0</v>
      </c>
      <c r="I27" s="517">
        <f t="shared" si="7"/>
        <v>0</v>
      </c>
      <c r="J27" s="517">
        <f t="shared" si="8"/>
        <v>0</v>
      </c>
      <c r="K27" s="517">
        <f t="shared" si="9"/>
        <v>0</v>
      </c>
      <c r="L27" s="517"/>
      <c r="M27" s="517">
        <f>IF($B27=0,0,(((VLOOKUP(Summary_Services!$F27,lookup_salaries,8,FALSE))*$E27)))</f>
        <v>0</v>
      </c>
      <c r="N27" s="517">
        <f>IF($B27=0,0,(((VLOOKUP(Summary_Services!$F27,lookup_salaries,8,FALSE))*$E27)))</f>
        <v>0</v>
      </c>
      <c r="O27" s="517">
        <f>IF($B27=0,0,(((VLOOKUP(Summary_Services!$F27,lookup_salaries,8,FALSE))*$E27)))</f>
        <v>0</v>
      </c>
      <c r="P27" s="517">
        <f>IF($B27=0,0,(((VLOOKUP(Summary_Services!$F27,lookup_salaries,8,FALSE))*$E27)))</f>
        <v>0</v>
      </c>
      <c r="Q27" s="517">
        <f>IF($B27=0,0,(((VLOOKUP(Summary_Services!$F27,lookup_salaries,8,FALSE))*$E27)))</f>
        <v>0</v>
      </c>
      <c r="R27" s="517">
        <f>IF($B27=0,0,(((VLOOKUP(Summary_Services!$F27,lookup_salaries,8,FALSE))*$E27)))</f>
        <v>0</v>
      </c>
      <c r="S27" s="517"/>
      <c r="T27" s="517">
        <f>IF(Summary_Services!Y27=0,0,Summary_TG!Q30/Summary_Services!Y27)</f>
        <v>0</v>
      </c>
      <c r="U27" s="517">
        <f>IF(Summary_Services!Z27=0,0,Summary_TG!R30/Summary_Services!Z27)</f>
        <v>0</v>
      </c>
      <c r="V27" s="517">
        <f>IF(Summary_Services!AA27=0,0,Summary_TG!S30/Summary_Services!AA27)</f>
        <v>0</v>
      </c>
      <c r="W27" s="517">
        <f>IF(Summary_Services!AB27=0,0,Summary_TG!T30/Summary_Services!AB27)</f>
        <v>0</v>
      </c>
      <c r="X27" s="517">
        <f>IF(Summary_Services!AC27=0,0,Summary_TG!U30/Summary_Services!AC27)</f>
        <v>0</v>
      </c>
      <c r="Y27" s="517">
        <f>IF(Summary_Services!AD27=0,0,Summary_TG!V30/Summary_Services!AD27)</f>
        <v>0</v>
      </c>
      <c r="Z27" s="517"/>
      <c r="AA27" s="517">
        <f>Summary_Services!R27</f>
        <v>0</v>
      </c>
      <c r="AB27" s="517">
        <f>Summary_Services!S27</f>
        <v>0</v>
      </c>
      <c r="AC27" s="517">
        <f>Summary_Services!T27</f>
        <v>0</v>
      </c>
      <c r="AD27" s="517">
        <f>Summary_Services!U27</f>
        <v>0</v>
      </c>
      <c r="AE27" s="517">
        <f>Summary_Services!V27</f>
        <v>0</v>
      </c>
      <c r="AF27" s="517">
        <f>Summary_Services!W27</f>
        <v>0</v>
      </c>
      <c r="AG27" s="517"/>
      <c r="AH27" s="517">
        <f t="shared" si="10"/>
        <v>0</v>
      </c>
      <c r="AI27" s="517">
        <f t="shared" si="11"/>
        <v>0</v>
      </c>
      <c r="AJ27" s="517">
        <f t="shared" si="12"/>
        <v>0</v>
      </c>
      <c r="AK27" s="517">
        <f t="shared" si="13"/>
        <v>0</v>
      </c>
      <c r="AL27" s="517">
        <f t="shared" si="14"/>
        <v>0</v>
      </c>
      <c r="AM27" s="517">
        <f t="shared" si="15"/>
        <v>0</v>
      </c>
      <c r="AN27" s="517"/>
      <c r="AO27" s="517">
        <f t="shared" si="16"/>
        <v>0</v>
      </c>
      <c r="AP27" s="517">
        <f t="shared" si="17"/>
        <v>0</v>
      </c>
      <c r="AQ27" s="517">
        <f t="shared" si="18"/>
        <v>0</v>
      </c>
      <c r="AR27" s="517">
        <f t="shared" si="19"/>
        <v>0</v>
      </c>
      <c r="AS27" s="517">
        <f t="shared" si="20"/>
        <v>0</v>
      </c>
      <c r="AT27" s="517">
        <f t="shared" si="21"/>
        <v>0</v>
      </c>
      <c r="AU27" s="517"/>
      <c r="AV27" s="517">
        <f t="shared" si="22"/>
        <v>0</v>
      </c>
      <c r="AW27" s="517">
        <f t="shared" si="23"/>
        <v>0</v>
      </c>
      <c r="AX27" s="517">
        <f t="shared" si="24"/>
        <v>0</v>
      </c>
      <c r="AY27" s="517">
        <f t="shared" si="25"/>
        <v>0</v>
      </c>
      <c r="AZ27" s="517">
        <f t="shared" si="26"/>
        <v>0</v>
      </c>
      <c r="BA27" s="517">
        <f t="shared" si="27"/>
        <v>0</v>
      </c>
      <c r="BB27" s="517"/>
      <c r="BC27" s="517" t="e">
        <f>+AH27/Demography!C$10</f>
        <v>#DIV/0!</v>
      </c>
      <c r="BD27" s="517" t="e">
        <f>+AI27/Demography!D$10</f>
        <v>#DIV/0!</v>
      </c>
      <c r="BE27" s="517" t="e">
        <f>+AJ27/Demography!E$10</f>
        <v>#DIV/0!</v>
      </c>
      <c r="BF27" s="517" t="e">
        <f>+AK27/Demography!F$10</f>
        <v>#DIV/0!</v>
      </c>
      <c r="BG27" s="517" t="e">
        <f>+AL27/Demography!G$10</f>
        <v>#DIV/0!</v>
      </c>
      <c r="BH27" s="517" t="e">
        <f>+AM27/Demography!H$10</f>
        <v>#DIV/0!</v>
      </c>
    </row>
    <row r="28" spans="1:60">
      <c r="A28" s="578">
        <v>23</v>
      </c>
      <c r="B28" s="4">
        <f>Summary_TG!B31</f>
        <v>0</v>
      </c>
      <c r="C28" s="4">
        <f>Summary_TG!C31</f>
        <v>0</v>
      </c>
      <c r="D28">
        <f>Summary_Services!E28</f>
        <v>0</v>
      </c>
      <c r="E28">
        <f>Summary_TG!G31</f>
        <v>0</v>
      </c>
      <c r="F28" s="517">
        <f t="shared" si="4"/>
        <v>0</v>
      </c>
      <c r="G28" s="517">
        <f t="shared" si="5"/>
        <v>0</v>
      </c>
      <c r="H28" s="517">
        <f t="shared" si="6"/>
        <v>0</v>
      </c>
      <c r="I28" s="517">
        <f t="shared" si="7"/>
        <v>0</v>
      </c>
      <c r="J28" s="517">
        <f t="shared" si="8"/>
        <v>0</v>
      </c>
      <c r="K28" s="517">
        <f t="shared" si="9"/>
        <v>0</v>
      </c>
      <c r="L28" s="517"/>
      <c r="M28" s="517">
        <f>IF($B28=0,0,(((VLOOKUP(Summary_Services!$F28,lookup_salaries,8,FALSE))*$E28)))</f>
        <v>0</v>
      </c>
      <c r="N28" s="517">
        <f>IF($B28=0,0,(((VLOOKUP(Summary_Services!$F28,lookup_salaries,8,FALSE))*$E28)))</f>
        <v>0</v>
      </c>
      <c r="O28" s="517">
        <f>IF($B28=0,0,(((VLOOKUP(Summary_Services!$F28,lookup_salaries,8,FALSE))*$E28)))</f>
        <v>0</v>
      </c>
      <c r="P28" s="517">
        <f>IF($B28=0,0,(((VLOOKUP(Summary_Services!$F28,lookup_salaries,8,FALSE))*$E28)))</f>
        <v>0</v>
      </c>
      <c r="Q28" s="517">
        <f>IF($B28=0,0,(((VLOOKUP(Summary_Services!$F28,lookup_salaries,8,FALSE))*$E28)))</f>
        <v>0</v>
      </c>
      <c r="R28" s="517">
        <f>IF($B28=0,0,(((VLOOKUP(Summary_Services!$F28,lookup_salaries,8,FALSE))*$E28)))</f>
        <v>0</v>
      </c>
      <c r="S28" s="517"/>
      <c r="T28" s="517">
        <f>IF(Summary_Services!Y28=0,0,Summary_TG!Q31/Summary_Services!Y28)</f>
        <v>0</v>
      </c>
      <c r="U28" s="517">
        <f>IF(Summary_Services!Z28=0,0,Summary_TG!R31/Summary_Services!Z28)</f>
        <v>0</v>
      </c>
      <c r="V28" s="517">
        <f>IF(Summary_Services!AA28=0,0,Summary_TG!S31/Summary_Services!AA28)</f>
        <v>0</v>
      </c>
      <c r="W28" s="517">
        <f>IF(Summary_Services!AB28=0,0,Summary_TG!T31/Summary_Services!AB28)</f>
        <v>0</v>
      </c>
      <c r="X28" s="517">
        <f>IF(Summary_Services!AC28=0,0,Summary_TG!U31/Summary_Services!AC28)</f>
        <v>0</v>
      </c>
      <c r="Y28" s="517">
        <f>IF(Summary_Services!AD28=0,0,Summary_TG!V31/Summary_Services!AD28)</f>
        <v>0</v>
      </c>
      <c r="Z28" s="517"/>
      <c r="AA28" s="517">
        <f>Summary_Services!R28</f>
        <v>0</v>
      </c>
      <c r="AB28" s="517">
        <f>Summary_Services!S28</f>
        <v>0</v>
      </c>
      <c r="AC28" s="517">
        <f>Summary_Services!T28</f>
        <v>0</v>
      </c>
      <c r="AD28" s="517">
        <f>Summary_Services!U28</f>
        <v>0</v>
      </c>
      <c r="AE28" s="517">
        <f>Summary_Services!V28</f>
        <v>0</v>
      </c>
      <c r="AF28" s="517">
        <f>Summary_Services!W28</f>
        <v>0</v>
      </c>
      <c r="AG28" s="517"/>
      <c r="AH28" s="517">
        <f t="shared" si="10"/>
        <v>0</v>
      </c>
      <c r="AI28" s="517">
        <f t="shared" si="11"/>
        <v>0</v>
      </c>
      <c r="AJ28" s="517">
        <f t="shared" si="12"/>
        <v>0</v>
      </c>
      <c r="AK28" s="517">
        <f t="shared" si="13"/>
        <v>0</v>
      </c>
      <c r="AL28" s="517">
        <f t="shared" si="14"/>
        <v>0</v>
      </c>
      <c r="AM28" s="517">
        <f t="shared" si="15"/>
        <v>0</v>
      </c>
      <c r="AN28" s="517"/>
      <c r="AO28" s="517">
        <f t="shared" si="16"/>
        <v>0</v>
      </c>
      <c r="AP28" s="517">
        <f t="shared" si="17"/>
        <v>0</v>
      </c>
      <c r="AQ28" s="517">
        <f t="shared" si="18"/>
        <v>0</v>
      </c>
      <c r="AR28" s="517">
        <f t="shared" si="19"/>
        <v>0</v>
      </c>
      <c r="AS28" s="517">
        <f t="shared" si="20"/>
        <v>0</v>
      </c>
      <c r="AT28" s="517">
        <f t="shared" si="21"/>
        <v>0</v>
      </c>
      <c r="AU28" s="517"/>
      <c r="AV28" s="517">
        <f t="shared" si="22"/>
        <v>0</v>
      </c>
      <c r="AW28" s="517">
        <f t="shared" si="23"/>
        <v>0</v>
      </c>
      <c r="AX28" s="517">
        <f t="shared" si="24"/>
        <v>0</v>
      </c>
      <c r="AY28" s="517">
        <f t="shared" si="25"/>
        <v>0</v>
      </c>
      <c r="AZ28" s="517">
        <f t="shared" si="26"/>
        <v>0</v>
      </c>
      <c r="BA28" s="517">
        <f t="shared" si="27"/>
        <v>0</v>
      </c>
      <c r="BB28" s="517"/>
      <c r="BC28" s="517" t="e">
        <f>+AH28/Demography!C$10</f>
        <v>#DIV/0!</v>
      </c>
      <c r="BD28" s="517" t="e">
        <f>+AI28/Demography!D$10</f>
        <v>#DIV/0!</v>
      </c>
      <c r="BE28" s="517" t="e">
        <f>+AJ28/Demography!E$10</f>
        <v>#DIV/0!</v>
      </c>
      <c r="BF28" s="517" t="e">
        <f>+AK28/Demography!F$10</f>
        <v>#DIV/0!</v>
      </c>
      <c r="BG28" s="517" t="e">
        <f>+AL28/Demography!G$10</f>
        <v>#DIV/0!</v>
      </c>
      <c r="BH28" s="517" t="e">
        <f>+AM28/Demography!H$10</f>
        <v>#DIV/0!</v>
      </c>
    </row>
    <row r="29" spans="1:60">
      <c r="A29" s="578">
        <v>24</v>
      </c>
      <c r="B29" s="4">
        <f>Summary_TG!B32</f>
        <v>0</v>
      </c>
      <c r="C29" s="4">
        <f>Summary_TG!C32</f>
        <v>0</v>
      </c>
      <c r="D29">
        <f>Summary_Services!E29</f>
        <v>0</v>
      </c>
      <c r="E29">
        <f>Summary_TG!G32</f>
        <v>0</v>
      </c>
      <c r="F29" s="517">
        <f t="shared" si="4"/>
        <v>0</v>
      </c>
      <c r="G29" s="517">
        <f t="shared" si="5"/>
        <v>0</v>
      </c>
      <c r="H29" s="517">
        <f t="shared" si="6"/>
        <v>0</v>
      </c>
      <c r="I29" s="517">
        <f t="shared" si="7"/>
        <v>0</v>
      </c>
      <c r="J29" s="517">
        <f t="shared" si="8"/>
        <v>0</v>
      </c>
      <c r="K29" s="517">
        <f t="shared" si="9"/>
        <v>0</v>
      </c>
      <c r="L29" s="517"/>
      <c r="M29" s="517">
        <f>IF($B29=0,0,(((VLOOKUP(Summary_Services!$F29,lookup_salaries,8,FALSE))*$E29)))</f>
        <v>0</v>
      </c>
      <c r="N29" s="517">
        <f>IF($B29=0,0,(((VLOOKUP(Summary_Services!$F29,lookup_salaries,8,FALSE))*$E29)))</f>
        <v>0</v>
      </c>
      <c r="O29" s="517">
        <f>IF($B29=0,0,(((VLOOKUP(Summary_Services!$F29,lookup_salaries,8,FALSE))*$E29)))</f>
        <v>0</v>
      </c>
      <c r="P29" s="517">
        <f>IF($B29=0,0,(((VLOOKUP(Summary_Services!$F29,lookup_salaries,8,FALSE))*$E29)))</f>
        <v>0</v>
      </c>
      <c r="Q29" s="517">
        <f>IF($B29=0,0,(((VLOOKUP(Summary_Services!$F29,lookup_salaries,8,FALSE))*$E29)))</f>
        <v>0</v>
      </c>
      <c r="R29" s="517">
        <f>IF($B29=0,0,(((VLOOKUP(Summary_Services!$F29,lookup_salaries,8,FALSE))*$E29)))</f>
        <v>0</v>
      </c>
      <c r="S29" s="517"/>
      <c r="T29" s="517">
        <f>IF(Summary_Services!Y29=0,0,Summary_TG!Q32/Summary_Services!Y29)</f>
        <v>0</v>
      </c>
      <c r="U29" s="517">
        <f>IF(Summary_Services!Z29=0,0,Summary_TG!R32/Summary_Services!Z29)</f>
        <v>0</v>
      </c>
      <c r="V29" s="517">
        <f>IF(Summary_Services!AA29=0,0,Summary_TG!S32/Summary_Services!AA29)</f>
        <v>0</v>
      </c>
      <c r="W29" s="517">
        <f>IF(Summary_Services!AB29=0,0,Summary_TG!T32/Summary_Services!AB29)</f>
        <v>0</v>
      </c>
      <c r="X29" s="517">
        <f>IF(Summary_Services!AC29=0,0,Summary_TG!U32/Summary_Services!AC29)</f>
        <v>0</v>
      </c>
      <c r="Y29" s="517">
        <f>IF(Summary_Services!AD29=0,0,Summary_TG!V32/Summary_Services!AD29)</f>
        <v>0</v>
      </c>
      <c r="Z29" s="517"/>
      <c r="AA29" s="517">
        <f>Summary_Services!R29</f>
        <v>0</v>
      </c>
      <c r="AB29" s="517">
        <f>Summary_Services!S29</f>
        <v>0</v>
      </c>
      <c r="AC29" s="517">
        <f>Summary_Services!T29</f>
        <v>0</v>
      </c>
      <c r="AD29" s="517">
        <f>Summary_Services!U29</f>
        <v>0</v>
      </c>
      <c r="AE29" s="517">
        <f>Summary_Services!V29</f>
        <v>0</v>
      </c>
      <c r="AF29" s="517">
        <f>Summary_Services!W29</f>
        <v>0</v>
      </c>
      <c r="AG29" s="517"/>
      <c r="AH29" s="517">
        <f t="shared" si="10"/>
        <v>0</v>
      </c>
      <c r="AI29" s="517">
        <f t="shared" si="11"/>
        <v>0</v>
      </c>
      <c r="AJ29" s="517">
        <f t="shared" si="12"/>
        <v>0</v>
      </c>
      <c r="AK29" s="517">
        <f t="shared" si="13"/>
        <v>0</v>
      </c>
      <c r="AL29" s="517">
        <f t="shared" si="14"/>
        <v>0</v>
      </c>
      <c r="AM29" s="517">
        <f t="shared" si="15"/>
        <v>0</v>
      </c>
      <c r="AN29" s="517"/>
      <c r="AO29" s="517">
        <f t="shared" si="16"/>
        <v>0</v>
      </c>
      <c r="AP29" s="517">
        <f t="shared" si="17"/>
        <v>0</v>
      </c>
      <c r="AQ29" s="517">
        <f t="shared" si="18"/>
        <v>0</v>
      </c>
      <c r="AR29" s="517">
        <f t="shared" si="19"/>
        <v>0</v>
      </c>
      <c r="AS29" s="517">
        <f t="shared" si="20"/>
        <v>0</v>
      </c>
      <c r="AT29" s="517">
        <f t="shared" si="21"/>
        <v>0</v>
      </c>
      <c r="AU29" s="517"/>
      <c r="AV29" s="517">
        <f t="shared" si="22"/>
        <v>0</v>
      </c>
      <c r="AW29" s="517">
        <f t="shared" si="23"/>
        <v>0</v>
      </c>
      <c r="AX29" s="517">
        <f t="shared" si="24"/>
        <v>0</v>
      </c>
      <c r="AY29" s="517">
        <f t="shared" si="25"/>
        <v>0</v>
      </c>
      <c r="AZ29" s="517">
        <f t="shared" si="26"/>
        <v>0</v>
      </c>
      <c r="BA29" s="517">
        <f t="shared" si="27"/>
        <v>0</v>
      </c>
      <c r="BB29" s="517"/>
      <c r="BC29" s="517" t="e">
        <f>+AH29/Demography!C$10</f>
        <v>#DIV/0!</v>
      </c>
      <c r="BD29" s="517" t="e">
        <f>+AI29/Demography!D$10</f>
        <v>#DIV/0!</v>
      </c>
      <c r="BE29" s="517" t="e">
        <f>+AJ29/Demography!E$10</f>
        <v>#DIV/0!</v>
      </c>
      <c r="BF29" s="517" t="e">
        <f>+AK29/Demography!F$10</f>
        <v>#DIV/0!</v>
      </c>
      <c r="BG29" s="517" t="e">
        <f>+AL29/Demography!G$10</f>
        <v>#DIV/0!</v>
      </c>
      <c r="BH29" s="517" t="e">
        <f>+AM29/Demography!H$10</f>
        <v>#DIV/0!</v>
      </c>
    </row>
    <row r="30" spans="1:60">
      <c r="A30" s="578">
        <v>25</v>
      </c>
      <c r="B30" s="4">
        <f>Summary_TG!B33</f>
        <v>0</v>
      </c>
      <c r="C30" s="4">
        <f>Summary_TG!C33</f>
        <v>0</v>
      </c>
      <c r="D30">
        <f>Summary_Services!E30</f>
        <v>0</v>
      </c>
      <c r="E30">
        <f>Summary_TG!G33</f>
        <v>0</v>
      </c>
      <c r="F30" s="517">
        <f t="shared" si="4"/>
        <v>0</v>
      </c>
      <c r="G30" s="517">
        <f t="shared" si="5"/>
        <v>0</v>
      </c>
      <c r="H30" s="517">
        <f t="shared" si="6"/>
        <v>0</v>
      </c>
      <c r="I30" s="517">
        <f t="shared" si="7"/>
        <v>0</v>
      </c>
      <c r="J30" s="517">
        <f t="shared" si="8"/>
        <v>0</v>
      </c>
      <c r="K30" s="517">
        <f t="shared" si="9"/>
        <v>0</v>
      </c>
      <c r="L30" s="517"/>
      <c r="M30" s="517">
        <f>IF($B30=0,0,(((VLOOKUP(Summary_Services!$F30,lookup_salaries,8,FALSE))*$E30)))</f>
        <v>0</v>
      </c>
      <c r="N30" s="517">
        <f>IF($B30=0,0,(((VLOOKUP(Summary_Services!$F30,lookup_salaries,8,FALSE))*$E30)))</f>
        <v>0</v>
      </c>
      <c r="O30" s="517">
        <f>IF($B30=0,0,(((VLOOKUP(Summary_Services!$F30,lookup_salaries,8,FALSE))*$E30)))</f>
        <v>0</v>
      </c>
      <c r="P30" s="517">
        <f>IF($B30=0,0,(((VLOOKUP(Summary_Services!$F30,lookup_salaries,8,FALSE))*$E30)))</f>
        <v>0</v>
      </c>
      <c r="Q30" s="517">
        <f>IF($B30=0,0,(((VLOOKUP(Summary_Services!$F30,lookup_salaries,8,FALSE))*$E30)))</f>
        <v>0</v>
      </c>
      <c r="R30" s="517">
        <f>IF($B30=0,0,(((VLOOKUP(Summary_Services!$F30,lookup_salaries,8,FALSE))*$E30)))</f>
        <v>0</v>
      </c>
      <c r="S30" s="517"/>
      <c r="T30" s="517">
        <f>IF(Summary_Services!Y30=0,0,Summary_TG!Q33/Summary_Services!Y30)</f>
        <v>0</v>
      </c>
      <c r="U30" s="517">
        <f>IF(Summary_Services!Z30=0,0,Summary_TG!R33/Summary_Services!Z30)</f>
        <v>0</v>
      </c>
      <c r="V30" s="517">
        <f>IF(Summary_Services!AA30=0,0,Summary_TG!S33/Summary_Services!AA30)</f>
        <v>0</v>
      </c>
      <c r="W30" s="517">
        <f>IF(Summary_Services!AB30=0,0,Summary_TG!T33/Summary_Services!AB30)</f>
        <v>0</v>
      </c>
      <c r="X30" s="517">
        <f>IF(Summary_Services!AC30=0,0,Summary_TG!U33/Summary_Services!AC30)</f>
        <v>0</v>
      </c>
      <c r="Y30" s="517">
        <f>IF(Summary_Services!AD30=0,0,Summary_TG!V33/Summary_Services!AD30)</f>
        <v>0</v>
      </c>
      <c r="Z30" s="517"/>
      <c r="AA30" s="517">
        <f>Summary_Services!R30</f>
        <v>0</v>
      </c>
      <c r="AB30" s="517">
        <f>Summary_Services!S30</f>
        <v>0</v>
      </c>
      <c r="AC30" s="517">
        <f>Summary_Services!T30</f>
        <v>0</v>
      </c>
      <c r="AD30" s="517">
        <f>Summary_Services!U30</f>
        <v>0</v>
      </c>
      <c r="AE30" s="517">
        <f>Summary_Services!V30</f>
        <v>0</v>
      </c>
      <c r="AF30" s="517">
        <f>Summary_Services!W30</f>
        <v>0</v>
      </c>
      <c r="AG30" s="517"/>
      <c r="AH30" s="517">
        <f t="shared" si="10"/>
        <v>0</v>
      </c>
      <c r="AI30" s="517">
        <f t="shared" si="11"/>
        <v>0</v>
      </c>
      <c r="AJ30" s="517">
        <f t="shared" si="12"/>
        <v>0</v>
      </c>
      <c r="AK30" s="517">
        <f t="shared" si="13"/>
        <v>0</v>
      </c>
      <c r="AL30" s="517">
        <f t="shared" si="14"/>
        <v>0</v>
      </c>
      <c r="AM30" s="517">
        <f t="shared" si="15"/>
        <v>0</v>
      </c>
      <c r="AN30" s="517"/>
      <c r="AO30" s="517">
        <f t="shared" si="16"/>
        <v>0</v>
      </c>
      <c r="AP30" s="517">
        <f t="shared" si="17"/>
        <v>0</v>
      </c>
      <c r="AQ30" s="517">
        <f t="shared" si="18"/>
        <v>0</v>
      </c>
      <c r="AR30" s="517">
        <f t="shared" si="19"/>
        <v>0</v>
      </c>
      <c r="AS30" s="517">
        <f t="shared" si="20"/>
        <v>0</v>
      </c>
      <c r="AT30" s="517">
        <f t="shared" si="21"/>
        <v>0</v>
      </c>
      <c r="AU30" s="517"/>
      <c r="AV30" s="517">
        <f t="shared" si="22"/>
        <v>0</v>
      </c>
      <c r="AW30" s="517">
        <f t="shared" si="23"/>
        <v>0</v>
      </c>
      <c r="AX30" s="517">
        <f t="shared" si="24"/>
        <v>0</v>
      </c>
      <c r="AY30" s="517">
        <f t="shared" si="25"/>
        <v>0</v>
      </c>
      <c r="AZ30" s="517">
        <f t="shared" si="26"/>
        <v>0</v>
      </c>
      <c r="BA30" s="517">
        <f t="shared" si="27"/>
        <v>0</v>
      </c>
      <c r="BB30" s="517"/>
      <c r="BC30" s="517" t="e">
        <f>+AH30/Demography!C$10</f>
        <v>#DIV/0!</v>
      </c>
      <c r="BD30" s="517" t="e">
        <f>+AI30/Demography!D$10</f>
        <v>#DIV/0!</v>
      </c>
      <c r="BE30" s="517" t="e">
        <f>+AJ30/Demography!E$10</f>
        <v>#DIV/0!</v>
      </c>
      <c r="BF30" s="517" t="e">
        <f>+AK30/Demography!F$10</f>
        <v>#DIV/0!</v>
      </c>
      <c r="BG30" s="517" t="e">
        <f>+AL30/Demography!G$10</f>
        <v>#DIV/0!</v>
      </c>
      <c r="BH30" s="517" t="e">
        <f>+AM30/Demography!H$10</f>
        <v>#DIV/0!</v>
      </c>
    </row>
    <row r="31" spans="1:60">
      <c r="A31" s="578">
        <v>26</v>
      </c>
      <c r="B31" s="4">
        <f>Summary_TG!B34</f>
        <v>0</v>
      </c>
      <c r="C31" s="4">
        <f>Summary_TG!C34</f>
        <v>0</v>
      </c>
      <c r="D31">
        <f>Summary_Services!E31</f>
        <v>0</v>
      </c>
      <c r="E31">
        <f>Summary_TG!G34</f>
        <v>0</v>
      </c>
      <c r="F31" s="517">
        <f t="shared" si="4"/>
        <v>0</v>
      </c>
      <c r="G31" s="517">
        <f t="shared" si="5"/>
        <v>0</v>
      </c>
      <c r="H31" s="517">
        <f t="shared" si="6"/>
        <v>0</v>
      </c>
      <c r="I31" s="517">
        <f t="shared" si="7"/>
        <v>0</v>
      </c>
      <c r="J31" s="517">
        <f t="shared" si="8"/>
        <v>0</v>
      </c>
      <c r="K31" s="517">
        <f t="shared" si="9"/>
        <v>0</v>
      </c>
      <c r="L31" s="517"/>
      <c r="M31" s="517">
        <f>IF($B31=0,0,(((VLOOKUP(Summary_Services!$F31,lookup_salaries,8,FALSE))*$E31)))</f>
        <v>0</v>
      </c>
      <c r="N31" s="517">
        <f>IF($B31=0,0,(((VLOOKUP(Summary_Services!$F31,lookup_salaries,8,FALSE))*$E31)))</f>
        <v>0</v>
      </c>
      <c r="O31" s="517">
        <f>IF($B31=0,0,(((VLOOKUP(Summary_Services!$F31,lookup_salaries,8,FALSE))*$E31)))</f>
        <v>0</v>
      </c>
      <c r="P31" s="517">
        <f>IF($B31=0,0,(((VLOOKUP(Summary_Services!$F31,lookup_salaries,8,FALSE))*$E31)))</f>
        <v>0</v>
      </c>
      <c r="Q31" s="517">
        <f>IF($B31=0,0,(((VLOOKUP(Summary_Services!$F31,lookup_salaries,8,FALSE))*$E31)))</f>
        <v>0</v>
      </c>
      <c r="R31" s="517">
        <f>IF($B31=0,0,(((VLOOKUP(Summary_Services!$F31,lookup_salaries,8,FALSE))*$E31)))</f>
        <v>0</v>
      </c>
      <c r="S31" s="517"/>
      <c r="T31" s="517">
        <f>IF(Summary_Services!Y31=0,0,Summary_TG!Q34/Summary_Services!Y31)</f>
        <v>0</v>
      </c>
      <c r="U31" s="517">
        <f>IF(Summary_Services!Z31=0,0,Summary_TG!R34/Summary_Services!Z31)</f>
        <v>0</v>
      </c>
      <c r="V31" s="517">
        <f>IF(Summary_Services!AA31=0,0,Summary_TG!S34/Summary_Services!AA31)</f>
        <v>0</v>
      </c>
      <c r="W31" s="517">
        <f>IF(Summary_Services!AB31=0,0,Summary_TG!T34/Summary_Services!AB31)</f>
        <v>0</v>
      </c>
      <c r="X31" s="517">
        <f>IF(Summary_Services!AC31=0,0,Summary_TG!U34/Summary_Services!AC31)</f>
        <v>0</v>
      </c>
      <c r="Y31" s="517">
        <f>IF(Summary_Services!AD31=0,0,Summary_TG!V34/Summary_Services!AD31)</f>
        <v>0</v>
      </c>
      <c r="Z31" s="517"/>
      <c r="AA31" s="517">
        <f>Summary_Services!R31</f>
        <v>0</v>
      </c>
      <c r="AB31" s="517">
        <f>Summary_Services!S31</f>
        <v>0</v>
      </c>
      <c r="AC31" s="517">
        <f>Summary_Services!T31</f>
        <v>0</v>
      </c>
      <c r="AD31" s="517">
        <f>Summary_Services!U31</f>
        <v>0</v>
      </c>
      <c r="AE31" s="517">
        <f>Summary_Services!V31</f>
        <v>0</v>
      </c>
      <c r="AF31" s="517">
        <f>Summary_Services!W31</f>
        <v>0</v>
      </c>
      <c r="AG31" s="517"/>
      <c r="AH31" s="517">
        <f t="shared" si="10"/>
        <v>0</v>
      </c>
      <c r="AI31" s="517">
        <f t="shared" si="11"/>
        <v>0</v>
      </c>
      <c r="AJ31" s="517">
        <f t="shared" si="12"/>
        <v>0</v>
      </c>
      <c r="AK31" s="517">
        <f t="shared" si="13"/>
        <v>0</v>
      </c>
      <c r="AL31" s="517">
        <f t="shared" si="14"/>
        <v>0</v>
      </c>
      <c r="AM31" s="517">
        <f t="shared" si="15"/>
        <v>0</v>
      </c>
      <c r="AN31" s="517"/>
      <c r="AO31" s="517">
        <f t="shared" si="16"/>
        <v>0</v>
      </c>
      <c r="AP31" s="517">
        <f t="shared" si="17"/>
        <v>0</v>
      </c>
      <c r="AQ31" s="517">
        <f t="shared" si="18"/>
        <v>0</v>
      </c>
      <c r="AR31" s="517">
        <f t="shared" si="19"/>
        <v>0</v>
      </c>
      <c r="AS31" s="517">
        <f t="shared" si="20"/>
        <v>0</v>
      </c>
      <c r="AT31" s="517">
        <f t="shared" si="21"/>
        <v>0</v>
      </c>
      <c r="AU31" s="517"/>
      <c r="AV31" s="517">
        <f t="shared" si="22"/>
        <v>0</v>
      </c>
      <c r="AW31" s="517">
        <f t="shared" si="23"/>
        <v>0</v>
      </c>
      <c r="AX31" s="517">
        <f t="shared" si="24"/>
        <v>0</v>
      </c>
      <c r="AY31" s="517">
        <f t="shared" si="25"/>
        <v>0</v>
      </c>
      <c r="AZ31" s="517">
        <f t="shared" si="26"/>
        <v>0</v>
      </c>
      <c r="BA31" s="517">
        <f t="shared" si="27"/>
        <v>0</v>
      </c>
      <c r="BB31" s="517"/>
      <c r="BC31" s="517" t="e">
        <f>+AH31/Demography!C$10</f>
        <v>#DIV/0!</v>
      </c>
      <c r="BD31" s="517" t="e">
        <f>+AI31/Demography!D$10</f>
        <v>#DIV/0!</v>
      </c>
      <c r="BE31" s="517" t="e">
        <f>+AJ31/Demography!E$10</f>
        <v>#DIV/0!</v>
      </c>
      <c r="BF31" s="517" t="e">
        <f>+AK31/Demography!F$10</f>
        <v>#DIV/0!</v>
      </c>
      <c r="BG31" s="517" t="e">
        <f>+AL31/Demography!G$10</f>
        <v>#DIV/0!</v>
      </c>
      <c r="BH31" s="517" t="e">
        <f>+AM31/Demography!H$10</f>
        <v>#DIV/0!</v>
      </c>
    </row>
    <row r="32" spans="1:60">
      <c r="A32" s="578">
        <v>27</v>
      </c>
      <c r="B32" s="4">
        <f>Summary_TG!B35</f>
        <v>0</v>
      </c>
      <c r="C32" s="4">
        <f>Summary_TG!C35</f>
        <v>0</v>
      </c>
      <c r="D32">
        <f>Summary_Services!E32</f>
        <v>0</v>
      </c>
      <c r="E32">
        <f>Summary_TG!G35</f>
        <v>0</v>
      </c>
      <c r="F32" s="517">
        <f t="shared" si="4"/>
        <v>0</v>
      </c>
      <c r="G32" s="517">
        <f t="shared" si="5"/>
        <v>0</v>
      </c>
      <c r="H32" s="517">
        <f t="shared" si="6"/>
        <v>0</v>
      </c>
      <c r="I32" s="517">
        <f t="shared" si="7"/>
        <v>0</v>
      </c>
      <c r="J32" s="517">
        <f t="shared" si="8"/>
        <v>0</v>
      </c>
      <c r="K32" s="517">
        <f t="shared" si="9"/>
        <v>0</v>
      </c>
      <c r="L32" s="517"/>
      <c r="M32" s="517">
        <f>IF($B32=0,0,(((VLOOKUP(Summary_Services!$F32,lookup_salaries,8,FALSE))*$E32)))</f>
        <v>0</v>
      </c>
      <c r="N32" s="517">
        <f>IF($B32=0,0,(((VLOOKUP(Summary_Services!$F32,lookup_salaries,8,FALSE))*$E32)))</f>
        <v>0</v>
      </c>
      <c r="O32" s="517">
        <f>IF($B32=0,0,(((VLOOKUP(Summary_Services!$F32,lookup_salaries,8,FALSE))*$E32)))</f>
        <v>0</v>
      </c>
      <c r="P32" s="517">
        <f>IF($B32=0,0,(((VLOOKUP(Summary_Services!$F32,lookup_salaries,8,FALSE))*$E32)))</f>
        <v>0</v>
      </c>
      <c r="Q32" s="517">
        <f>IF($B32=0,0,(((VLOOKUP(Summary_Services!$F32,lookup_salaries,8,FALSE))*$E32)))</f>
        <v>0</v>
      </c>
      <c r="R32" s="517">
        <f>IF($B32=0,0,(((VLOOKUP(Summary_Services!$F32,lookup_salaries,8,FALSE))*$E32)))</f>
        <v>0</v>
      </c>
      <c r="S32" s="517"/>
      <c r="T32" s="517">
        <f>IF(Summary_Services!Y32=0,0,Summary_TG!Q35/Summary_Services!Y32)</f>
        <v>0</v>
      </c>
      <c r="U32" s="517">
        <f>IF(Summary_Services!Z32=0,0,Summary_TG!R35/Summary_Services!Z32)</f>
        <v>0</v>
      </c>
      <c r="V32" s="517">
        <f>IF(Summary_Services!AA32=0,0,Summary_TG!S35/Summary_Services!AA32)</f>
        <v>0</v>
      </c>
      <c r="W32" s="517">
        <f>IF(Summary_Services!AB32=0,0,Summary_TG!T35/Summary_Services!AB32)</f>
        <v>0</v>
      </c>
      <c r="X32" s="517">
        <f>IF(Summary_Services!AC32=0,0,Summary_TG!U35/Summary_Services!AC32)</f>
        <v>0</v>
      </c>
      <c r="Y32" s="517">
        <f>IF(Summary_Services!AD32=0,0,Summary_TG!V35/Summary_Services!AD32)</f>
        <v>0</v>
      </c>
      <c r="Z32" s="517"/>
      <c r="AA32" s="517">
        <f>Summary_Services!R32</f>
        <v>0</v>
      </c>
      <c r="AB32" s="517">
        <f>Summary_Services!S32</f>
        <v>0</v>
      </c>
      <c r="AC32" s="517">
        <f>Summary_Services!T32</f>
        <v>0</v>
      </c>
      <c r="AD32" s="517">
        <f>Summary_Services!U32</f>
        <v>0</v>
      </c>
      <c r="AE32" s="517">
        <f>Summary_Services!V32</f>
        <v>0</v>
      </c>
      <c r="AF32" s="517">
        <f>Summary_Services!W32</f>
        <v>0</v>
      </c>
      <c r="AG32" s="517"/>
      <c r="AH32" s="517">
        <f t="shared" si="10"/>
        <v>0</v>
      </c>
      <c r="AI32" s="517">
        <f t="shared" si="11"/>
        <v>0</v>
      </c>
      <c r="AJ32" s="517">
        <f t="shared" si="12"/>
        <v>0</v>
      </c>
      <c r="AK32" s="517">
        <f t="shared" si="13"/>
        <v>0</v>
      </c>
      <c r="AL32" s="517">
        <f t="shared" si="14"/>
        <v>0</v>
      </c>
      <c r="AM32" s="517">
        <f t="shared" si="15"/>
        <v>0</v>
      </c>
      <c r="AN32" s="517"/>
      <c r="AO32" s="517">
        <f t="shared" si="16"/>
        <v>0</v>
      </c>
      <c r="AP32" s="517">
        <f t="shared" si="17"/>
        <v>0</v>
      </c>
      <c r="AQ32" s="517">
        <f t="shared" si="18"/>
        <v>0</v>
      </c>
      <c r="AR32" s="517">
        <f t="shared" si="19"/>
        <v>0</v>
      </c>
      <c r="AS32" s="517">
        <f t="shared" si="20"/>
        <v>0</v>
      </c>
      <c r="AT32" s="517">
        <f t="shared" si="21"/>
        <v>0</v>
      </c>
      <c r="AU32" s="517"/>
      <c r="AV32" s="517">
        <f t="shared" si="22"/>
        <v>0</v>
      </c>
      <c r="AW32" s="517">
        <f t="shared" si="23"/>
        <v>0</v>
      </c>
      <c r="AX32" s="517">
        <f t="shared" si="24"/>
        <v>0</v>
      </c>
      <c r="AY32" s="517">
        <f t="shared" si="25"/>
        <v>0</v>
      </c>
      <c r="AZ32" s="517">
        <f t="shared" si="26"/>
        <v>0</v>
      </c>
      <c r="BA32" s="517">
        <f t="shared" si="27"/>
        <v>0</v>
      </c>
      <c r="BB32" s="517"/>
      <c r="BC32" s="517" t="e">
        <f>+AH32/Demography!C$10</f>
        <v>#DIV/0!</v>
      </c>
      <c r="BD32" s="517" t="e">
        <f>+AI32/Demography!D$10</f>
        <v>#DIV/0!</v>
      </c>
      <c r="BE32" s="517" t="e">
        <f>+AJ32/Demography!E$10</f>
        <v>#DIV/0!</v>
      </c>
      <c r="BF32" s="517" t="e">
        <f>+AK32/Demography!F$10</f>
        <v>#DIV/0!</v>
      </c>
      <c r="BG32" s="517" t="e">
        <f>+AL32/Demography!G$10</f>
        <v>#DIV/0!</v>
      </c>
      <c r="BH32" s="517" t="e">
        <f>+AM32/Demography!H$10</f>
        <v>#DIV/0!</v>
      </c>
    </row>
    <row r="33" spans="1:60">
      <c r="A33" s="578">
        <v>28</v>
      </c>
      <c r="B33" s="4">
        <f>Summary_TG!B36</f>
        <v>0</v>
      </c>
      <c r="C33" s="4">
        <f>Summary_TG!C36</f>
        <v>0</v>
      </c>
      <c r="D33">
        <f>Summary_Services!E33</f>
        <v>0</v>
      </c>
      <c r="E33">
        <f>Summary_TG!G36</f>
        <v>0</v>
      </c>
      <c r="F33" s="517">
        <f t="shared" si="4"/>
        <v>0</v>
      </c>
      <c r="G33" s="517">
        <f t="shared" si="5"/>
        <v>0</v>
      </c>
      <c r="H33" s="517">
        <f t="shared" si="6"/>
        <v>0</v>
      </c>
      <c r="I33" s="517">
        <f t="shared" si="7"/>
        <v>0</v>
      </c>
      <c r="J33" s="517">
        <f t="shared" si="8"/>
        <v>0</v>
      </c>
      <c r="K33" s="517">
        <f t="shared" si="9"/>
        <v>0</v>
      </c>
      <c r="L33" s="517"/>
      <c r="M33" s="517">
        <f>IF($B33=0,0,(((VLOOKUP(Summary_Services!$F33,lookup_salaries,8,FALSE))*$E33)))</f>
        <v>0</v>
      </c>
      <c r="N33" s="517">
        <f>IF($B33=0,0,(((VLOOKUP(Summary_Services!$F33,lookup_salaries,8,FALSE))*$E33)))</f>
        <v>0</v>
      </c>
      <c r="O33" s="517">
        <f>IF($B33=0,0,(((VLOOKUP(Summary_Services!$F33,lookup_salaries,8,FALSE))*$E33)))</f>
        <v>0</v>
      </c>
      <c r="P33" s="517">
        <f>IF($B33=0,0,(((VLOOKUP(Summary_Services!$F33,lookup_salaries,8,FALSE))*$E33)))</f>
        <v>0</v>
      </c>
      <c r="Q33" s="517">
        <f>IF($B33=0,0,(((VLOOKUP(Summary_Services!$F33,lookup_salaries,8,FALSE))*$E33)))</f>
        <v>0</v>
      </c>
      <c r="R33" s="517">
        <f>IF($B33=0,0,(((VLOOKUP(Summary_Services!$F33,lookup_salaries,8,FALSE))*$E33)))</f>
        <v>0</v>
      </c>
      <c r="S33" s="517"/>
      <c r="T33" s="517">
        <f>IF(Summary_Services!Y33=0,0,Summary_TG!Q36/Summary_Services!Y33)</f>
        <v>0</v>
      </c>
      <c r="U33" s="517">
        <f>IF(Summary_Services!Z33=0,0,Summary_TG!R36/Summary_Services!Z33)</f>
        <v>0</v>
      </c>
      <c r="V33" s="517">
        <f>IF(Summary_Services!AA33=0,0,Summary_TG!S36/Summary_Services!AA33)</f>
        <v>0</v>
      </c>
      <c r="W33" s="517">
        <f>IF(Summary_Services!AB33=0,0,Summary_TG!T36/Summary_Services!AB33)</f>
        <v>0</v>
      </c>
      <c r="X33" s="517">
        <f>IF(Summary_Services!AC33=0,0,Summary_TG!U36/Summary_Services!AC33)</f>
        <v>0</v>
      </c>
      <c r="Y33" s="517">
        <f>IF(Summary_Services!AD33=0,0,Summary_TG!V36/Summary_Services!AD33)</f>
        <v>0</v>
      </c>
      <c r="Z33" s="517"/>
      <c r="AA33" s="517">
        <f>Summary_Services!R33</f>
        <v>0</v>
      </c>
      <c r="AB33" s="517">
        <f>Summary_Services!S33</f>
        <v>0</v>
      </c>
      <c r="AC33" s="517">
        <f>Summary_Services!T33</f>
        <v>0</v>
      </c>
      <c r="AD33" s="517">
        <f>Summary_Services!U33</f>
        <v>0</v>
      </c>
      <c r="AE33" s="517">
        <f>Summary_Services!V33</f>
        <v>0</v>
      </c>
      <c r="AF33" s="517">
        <f>Summary_Services!W33</f>
        <v>0</v>
      </c>
      <c r="AG33" s="517"/>
      <c r="AH33" s="517">
        <f t="shared" si="10"/>
        <v>0</v>
      </c>
      <c r="AI33" s="517">
        <f t="shared" si="11"/>
        <v>0</v>
      </c>
      <c r="AJ33" s="517">
        <f t="shared" si="12"/>
        <v>0</v>
      </c>
      <c r="AK33" s="517">
        <f t="shared" si="13"/>
        <v>0</v>
      </c>
      <c r="AL33" s="517">
        <f t="shared" si="14"/>
        <v>0</v>
      </c>
      <c r="AM33" s="517">
        <f t="shared" si="15"/>
        <v>0</v>
      </c>
      <c r="AN33" s="517"/>
      <c r="AO33" s="517">
        <f t="shared" si="16"/>
        <v>0</v>
      </c>
      <c r="AP33" s="517">
        <f t="shared" si="17"/>
        <v>0</v>
      </c>
      <c r="AQ33" s="517">
        <f t="shared" si="18"/>
        <v>0</v>
      </c>
      <c r="AR33" s="517">
        <f t="shared" si="19"/>
        <v>0</v>
      </c>
      <c r="AS33" s="517">
        <f t="shared" si="20"/>
        <v>0</v>
      </c>
      <c r="AT33" s="517">
        <f t="shared" si="21"/>
        <v>0</v>
      </c>
      <c r="AU33" s="517"/>
      <c r="AV33" s="517">
        <f t="shared" si="22"/>
        <v>0</v>
      </c>
      <c r="AW33" s="517">
        <f t="shared" si="23"/>
        <v>0</v>
      </c>
      <c r="AX33" s="517">
        <f t="shared" si="24"/>
        <v>0</v>
      </c>
      <c r="AY33" s="517">
        <f t="shared" si="25"/>
        <v>0</v>
      </c>
      <c r="AZ33" s="517">
        <f t="shared" si="26"/>
        <v>0</v>
      </c>
      <c r="BA33" s="517">
        <f t="shared" si="27"/>
        <v>0</v>
      </c>
      <c r="BB33" s="517"/>
      <c r="BC33" s="517" t="e">
        <f>+AH33/Demography!C$10</f>
        <v>#DIV/0!</v>
      </c>
      <c r="BD33" s="517" t="e">
        <f>+AI33/Demography!D$10</f>
        <v>#DIV/0!</v>
      </c>
      <c r="BE33" s="517" t="e">
        <f>+AJ33/Demography!E$10</f>
        <v>#DIV/0!</v>
      </c>
      <c r="BF33" s="517" t="e">
        <f>+AK33/Demography!F$10</f>
        <v>#DIV/0!</v>
      </c>
      <c r="BG33" s="517" t="e">
        <f>+AL33/Demography!G$10</f>
        <v>#DIV/0!</v>
      </c>
      <c r="BH33" s="517" t="e">
        <f>+AM33/Demography!H$10</f>
        <v>#DIV/0!</v>
      </c>
    </row>
    <row r="34" spans="1:60">
      <c r="A34" s="578">
        <v>29</v>
      </c>
      <c r="B34" s="4">
        <f>Summary_TG!B37</f>
        <v>0</v>
      </c>
      <c r="C34" s="4">
        <f>Summary_TG!C37</f>
        <v>0</v>
      </c>
      <c r="D34">
        <f>Summary_Services!E34</f>
        <v>0</v>
      </c>
      <c r="E34">
        <f>Summary_TG!G37</f>
        <v>0</v>
      </c>
      <c r="F34" s="517">
        <f t="shared" si="4"/>
        <v>0</v>
      </c>
      <c r="G34" s="517">
        <f t="shared" si="5"/>
        <v>0</v>
      </c>
      <c r="H34" s="517">
        <f t="shared" si="6"/>
        <v>0</v>
      </c>
      <c r="I34" s="517">
        <f t="shared" si="7"/>
        <v>0</v>
      </c>
      <c r="J34" s="517">
        <f t="shared" si="8"/>
        <v>0</v>
      </c>
      <c r="K34" s="517">
        <f t="shared" si="9"/>
        <v>0</v>
      </c>
      <c r="L34" s="517"/>
      <c r="M34" s="517">
        <f>IF($B34=0,0,(((VLOOKUP(Summary_Services!$F34,lookup_salaries,8,FALSE))*$E34)))</f>
        <v>0</v>
      </c>
      <c r="N34" s="517">
        <f>IF($B34=0,0,(((VLOOKUP(Summary_Services!$F34,lookup_salaries,8,FALSE))*$E34)))</f>
        <v>0</v>
      </c>
      <c r="O34" s="517">
        <f>IF($B34=0,0,(((VLOOKUP(Summary_Services!$F34,lookup_salaries,8,FALSE))*$E34)))</f>
        <v>0</v>
      </c>
      <c r="P34" s="517">
        <f>IF($B34=0,0,(((VLOOKUP(Summary_Services!$F34,lookup_salaries,8,FALSE))*$E34)))</f>
        <v>0</v>
      </c>
      <c r="Q34" s="517">
        <f>IF($B34=0,0,(((VLOOKUP(Summary_Services!$F34,lookup_salaries,8,FALSE))*$E34)))</f>
        <v>0</v>
      </c>
      <c r="R34" s="517">
        <f>IF($B34=0,0,(((VLOOKUP(Summary_Services!$F34,lookup_salaries,8,FALSE))*$E34)))</f>
        <v>0</v>
      </c>
      <c r="S34" s="517"/>
      <c r="T34" s="517">
        <f>IF(Summary_Services!Y34=0,0,Summary_TG!Q37/Summary_Services!Y34)</f>
        <v>0</v>
      </c>
      <c r="U34" s="517">
        <f>IF(Summary_Services!Z34=0,0,Summary_TG!R37/Summary_Services!Z34)</f>
        <v>0</v>
      </c>
      <c r="V34" s="517">
        <f>IF(Summary_Services!AA34=0,0,Summary_TG!S37/Summary_Services!AA34)</f>
        <v>0</v>
      </c>
      <c r="W34" s="517">
        <f>IF(Summary_Services!AB34=0,0,Summary_TG!T37/Summary_Services!AB34)</f>
        <v>0</v>
      </c>
      <c r="X34" s="517">
        <f>IF(Summary_Services!AC34=0,0,Summary_TG!U37/Summary_Services!AC34)</f>
        <v>0</v>
      </c>
      <c r="Y34" s="517">
        <f>IF(Summary_Services!AD34=0,0,Summary_TG!V37/Summary_Services!AD34)</f>
        <v>0</v>
      </c>
      <c r="Z34" s="517"/>
      <c r="AA34" s="517">
        <f>Summary_Services!R34</f>
        <v>0</v>
      </c>
      <c r="AB34" s="517">
        <f>Summary_Services!S34</f>
        <v>0</v>
      </c>
      <c r="AC34" s="517">
        <f>Summary_Services!T34</f>
        <v>0</v>
      </c>
      <c r="AD34" s="517">
        <f>Summary_Services!U34</f>
        <v>0</v>
      </c>
      <c r="AE34" s="517">
        <f>Summary_Services!V34</f>
        <v>0</v>
      </c>
      <c r="AF34" s="517">
        <f>Summary_Services!W34</f>
        <v>0</v>
      </c>
      <c r="AG34" s="517"/>
      <c r="AH34" s="517">
        <f t="shared" si="10"/>
        <v>0</v>
      </c>
      <c r="AI34" s="517">
        <f t="shared" si="11"/>
        <v>0</v>
      </c>
      <c r="AJ34" s="517">
        <f t="shared" si="12"/>
        <v>0</v>
      </c>
      <c r="AK34" s="517">
        <f t="shared" si="13"/>
        <v>0</v>
      </c>
      <c r="AL34" s="517">
        <f t="shared" si="14"/>
        <v>0</v>
      </c>
      <c r="AM34" s="517">
        <f t="shared" si="15"/>
        <v>0</v>
      </c>
      <c r="AN34" s="517"/>
      <c r="AO34" s="517">
        <f t="shared" si="16"/>
        <v>0</v>
      </c>
      <c r="AP34" s="517">
        <f t="shared" si="17"/>
        <v>0</v>
      </c>
      <c r="AQ34" s="517">
        <f t="shared" si="18"/>
        <v>0</v>
      </c>
      <c r="AR34" s="517">
        <f t="shared" si="19"/>
        <v>0</v>
      </c>
      <c r="AS34" s="517">
        <f t="shared" si="20"/>
        <v>0</v>
      </c>
      <c r="AT34" s="517">
        <f t="shared" si="21"/>
        <v>0</v>
      </c>
      <c r="AU34" s="517"/>
      <c r="AV34" s="517">
        <f t="shared" si="22"/>
        <v>0</v>
      </c>
      <c r="AW34" s="517">
        <f t="shared" si="23"/>
        <v>0</v>
      </c>
      <c r="AX34" s="517">
        <f t="shared" si="24"/>
        <v>0</v>
      </c>
      <c r="AY34" s="517">
        <f t="shared" si="25"/>
        <v>0</v>
      </c>
      <c r="AZ34" s="517">
        <f t="shared" si="26"/>
        <v>0</v>
      </c>
      <c r="BA34" s="517">
        <f t="shared" si="27"/>
        <v>0</v>
      </c>
      <c r="BB34" s="517"/>
      <c r="BC34" s="517" t="e">
        <f>+AH34/Demography!C$10</f>
        <v>#DIV/0!</v>
      </c>
      <c r="BD34" s="517" t="e">
        <f>+AI34/Demography!D$10</f>
        <v>#DIV/0!</v>
      </c>
      <c r="BE34" s="517" t="e">
        <f>+AJ34/Demography!E$10</f>
        <v>#DIV/0!</v>
      </c>
      <c r="BF34" s="517" t="e">
        <f>+AK34/Demography!F$10</f>
        <v>#DIV/0!</v>
      </c>
      <c r="BG34" s="517" t="e">
        <f>+AL34/Demography!G$10</f>
        <v>#DIV/0!</v>
      </c>
      <c r="BH34" s="517" t="e">
        <f>+AM34/Demography!H$10</f>
        <v>#DIV/0!</v>
      </c>
    </row>
    <row r="35" spans="1:60">
      <c r="A35" s="578">
        <v>30</v>
      </c>
      <c r="B35" s="4">
        <f>Summary_TG!B38</f>
        <v>0</v>
      </c>
      <c r="C35" s="4">
        <f>Summary_TG!C38</f>
        <v>0</v>
      </c>
      <c r="D35">
        <f>Summary_Services!E35</f>
        <v>0</v>
      </c>
      <c r="E35">
        <f>Summary_TG!G38</f>
        <v>0</v>
      </c>
      <c r="F35" s="517">
        <f t="shared" si="4"/>
        <v>0</v>
      </c>
      <c r="G35" s="517">
        <f t="shared" si="5"/>
        <v>0</v>
      </c>
      <c r="H35" s="517">
        <f t="shared" si="6"/>
        <v>0</v>
      </c>
      <c r="I35" s="517">
        <f t="shared" si="7"/>
        <v>0</v>
      </c>
      <c r="J35" s="517">
        <f t="shared" si="8"/>
        <v>0</v>
      </c>
      <c r="K35" s="517">
        <f t="shared" si="9"/>
        <v>0</v>
      </c>
      <c r="L35" s="517"/>
      <c r="M35" s="517">
        <f>IF($B35=0,0,(((VLOOKUP(Summary_Services!$F35,lookup_salaries,8,FALSE))*$E35)))</f>
        <v>0</v>
      </c>
      <c r="N35" s="517">
        <f>IF($B35=0,0,(((VLOOKUP(Summary_Services!$F35,lookup_salaries,8,FALSE))*$E35)))</f>
        <v>0</v>
      </c>
      <c r="O35" s="517">
        <f>IF($B35=0,0,(((VLOOKUP(Summary_Services!$F35,lookup_salaries,8,FALSE))*$E35)))</f>
        <v>0</v>
      </c>
      <c r="P35" s="517">
        <f>IF($B35=0,0,(((VLOOKUP(Summary_Services!$F35,lookup_salaries,8,FALSE))*$E35)))</f>
        <v>0</v>
      </c>
      <c r="Q35" s="517">
        <f>IF($B35=0,0,(((VLOOKUP(Summary_Services!$F35,lookup_salaries,8,FALSE))*$E35)))</f>
        <v>0</v>
      </c>
      <c r="R35" s="517">
        <f>IF($B35=0,0,(((VLOOKUP(Summary_Services!$F35,lookup_salaries,8,FALSE))*$E35)))</f>
        <v>0</v>
      </c>
      <c r="S35" s="517"/>
      <c r="T35" s="517">
        <f>IF(Summary_Services!Y35=0,0,Summary_TG!Q38/Summary_Services!Y35)</f>
        <v>0</v>
      </c>
      <c r="U35" s="517">
        <f>IF(Summary_Services!Z35=0,0,Summary_TG!R38/Summary_Services!Z35)</f>
        <v>0</v>
      </c>
      <c r="V35" s="517">
        <f>IF(Summary_Services!AA35=0,0,Summary_TG!S38/Summary_Services!AA35)</f>
        <v>0</v>
      </c>
      <c r="W35" s="517">
        <f>IF(Summary_Services!AB35=0,0,Summary_TG!T38/Summary_Services!AB35)</f>
        <v>0</v>
      </c>
      <c r="X35" s="517">
        <f>IF(Summary_Services!AC35=0,0,Summary_TG!U38/Summary_Services!AC35)</f>
        <v>0</v>
      </c>
      <c r="Y35" s="517">
        <f>IF(Summary_Services!AD35=0,0,Summary_TG!V38/Summary_Services!AD35)</f>
        <v>0</v>
      </c>
      <c r="Z35" s="517"/>
      <c r="AA35" s="517">
        <f>Summary_Services!R35</f>
        <v>0</v>
      </c>
      <c r="AB35" s="517">
        <f>Summary_Services!S35</f>
        <v>0</v>
      </c>
      <c r="AC35" s="517">
        <f>Summary_Services!T35</f>
        <v>0</v>
      </c>
      <c r="AD35" s="517">
        <f>Summary_Services!U35</f>
        <v>0</v>
      </c>
      <c r="AE35" s="517">
        <f>Summary_Services!V35</f>
        <v>0</v>
      </c>
      <c r="AF35" s="517">
        <f>Summary_Services!W35</f>
        <v>0</v>
      </c>
      <c r="AG35" s="517"/>
      <c r="AH35" s="517">
        <f t="shared" si="10"/>
        <v>0</v>
      </c>
      <c r="AI35" s="517">
        <f t="shared" si="11"/>
        <v>0</v>
      </c>
      <c r="AJ35" s="517">
        <f t="shared" si="12"/>
        <v>0</v>
      </c>
      <c r="AK35" s="517">
        <f t="shared" si="13"/>
        <v>0</v>
      </c>
      <c r="AL35" s="517">
        <f t="shared" si="14"/>
        <v>0</v>
      </c>
      <c r="AM35" s="517">
        <f t="shared" si="15"/>
        <v>0</v>
      </c>
      <c r="AN35" s="517"/>
      <c r="AO35" s="517">
        <f t="shared" si="16"/>
        <v>0</v>
      </c>
      <c r="AP35" s="517">
        <f t="shared" si="17"/>
        <v>0</v>
      </c>
      <c r="AQ35" s="517">
        <f t="shared" si="18"/>
        <v>0</v>
      </c>
      <c r="AR35" s="517">
        <f t="shared" si="19"/>
        <v>0</v>
      </c>
      <c r="AS35" s="517">
        <f t="shared" si="20"/>
        <v>0</v>
      </c>
      <c r="AT35" s="517">
        <f t="shared" si="21"/>
        <v>0</v>
      </c>
      <c r="AU35" s="517"/>
      <c r="AV35" s="517">
        <f t="shared" si="22"/>
        <v>0</v>
      </c>
      <c r="AW35" s="517">
        <f t="shared" si="23"/>
        <v>0</v>
      </c>
      <c r="AX35" s="517">
        <f t="shared" si="24"/>
        <v>0</v>
      </c>
      <c r="AY35" s="517">
        <f t="shared" si="25"/>
        <v>0</v>
      </c>
      <c r="AZ35" s="517">
        <f t="shared" si="26"/>
        <v>0</v>
      </c>
      <c r="BA35" s="517">
        <f t="shared" si="27"/>
        <v>0</v>
      </c>
      <c r="BB35" s="517"/>
      <c r="BC35" s="517" t="e">
        <f>+AH35/Demography!C$10</f>
        <v>#DIV/0!</v>
      </c>
      <c r="BD35" s="517" t="e">
        <f>+AI35/Demography!D$10</f>
        <v>#DIV/0!</v>
      </c>
      <c r="BE35" s="517" t="e">
        <f>+AJ35/Demography!E$10</f>
        <v>#DIV/0!</v>
      </c>
      <c r="BF35" s="517" t="e">
        <f>+AK35/Demography!F$10</f>
        <v>#DIV/0!</v>
      </c>
      <c r="BG35" s="517" t="e">
        <f>+AL35/Demography!G$10</f>
        <v>#DIV/0!</v>
      </c>
      <c r="BH35" s="517" t="e">
        <f>+AM35/Demography!H$10</f>
        <v>#DIV/0!</v>
      </c>
    </row>
    <row r="36" spans="1:60">
      <c r="A36" s="578">
        <v>31</v>
      </c>
      <c r="B36" s="4">
        <f>Summary_TG!B39</f>
        <v>0</v>
      </c>
      <c r="C36" s="4">
        <f>Summary_TG!C39</f>
        <v>0</v>
      </c>
      <c r="D36">
        <f>Summary_Services!E36</f>
        <v>0</v>
      </c>
      <c r="E36">
        <f>Summary_TG!G39</f>
        <v>0</v>
      </c>
      <c r="F36" s="517">
        <f t="shared" si="4"/>
        <v>0</v>
      </c>
      <c r="G36" s="517">
        <f t="shared" si="5"/>
        <v>0</v>
      </c>
      <c r="H36" s="517">
        <f t="shared" si="6"/>
        <v>0</v>
      </c>
      <c r="I36" s="517">
        <f t="shared" si="7"/>
        <v>0</v>
      </c>
      <c r="J36" s="517">
        <f t="shared" si="8"/>
        <v>0</v>
      </c>
      <c r="K36" s="517">
        <f t="shared" si="9"/>
        <v>0</v>
      </c>
      <c r="L36" s="517"/>
      <c r="M36" s="517">
        <f>IF($B36=0,0,(((VLOOKUP(Summary_Services!$F36,lookup_salaries,8,FALSE))*$E36)))</f>
        <v>0</v>
      </c>
      <c r="N36" s="517">
        <f>IF($B36=0,0,(((VLOOKUP(Summary_Services!$F36,lookup_salaries,8,FALSE))*$E36)))</f>
        <v>0</v>
      </c>
      <c r="O36" s="517">
        <f>IF($B36=0,0,(((VLOOKUP(Summary_Services!$F36,lookup_salaries,8,FALSE))*$E36)))</f>
        <v>0</v>
      </c>
      <c r="P36" s="517">
        <f>IF($B36=0,0,(((VLOOKUP(Summary_Services!$F36,lookup_salaries,8,FALSE))*$E36)))</f>
        <v>0</v>
      </c>
      <c r="Q36" s="517">
        <f>IF($B36=0,0,(((VLOOKUP(Summary_Services!$F36,lookup_salaries,8,FALSE))*$E36)))</f>
        <v>0</v>
      </c>
      <c r="R36" s="517">
        <f>IF($B36=0,0,(((VLOOKUP(Summary_Services!$F36,lookup_salaries,8,FALSE))*$E36)))</f>
        <v>0</v>
      </c>
      <c r="S36" s="517"/>
      <c r="T36" s="517">
        <f>IF(Summary_Services!Y36=0,0,Summary_TG!Q39/Summary_Services!Y36)</f>
        <v>0</v>
      </c>
      <c r="U36" s="517">
        <f>IF(Summary_Services!Z36=0,0,Summary_TG!R39/Summary_Services!Z36)</f>
        <v>0</v>
      </c>
      <c r="V36" s="517">
        <f>IF(Summary_Services!AA36=0,0,Summary_TG!S39/Summary_Services!AA36)</f>
        <v>0</v>
      </c>
      <c r="W36" s="517">
        <f>IF(Summary_Services!AB36=0,0,Summary_TG!T39/Summary_Services!AB36)</f>
        <v>0</v>
      </c>
      <c r="X36" s="517">
        <f>IF(Summary_Services!AC36=0,0,Summary_TG!U39/Summary_Services!AC36)</f>
        <v>0</v>
      </c>
      <c r="Y36" s="517">
        <f>IF(Summary_Services!AD36=0,0,Summary_TG!V39/Summary_Services!AD36)</f>
        <v>0</v>
      </c>
      <c r="Z36" s="517"/>
      <c r="AA36" s="517">
        <f>Summary_Services!R36</f>
        <v>0</v>
      </c>
      <c r="AB36" s="517">
        <f>Summary_Services!S36</f>
        <v>0</v>
      </c>
      <c r="AC36" s="517">
        <f>Summary_Services!T36</f>
        <v>0</v>
      </c>
      <c r="AD36" s="517">
        <f>Summary_Services!U36</f>
        <v>0</v>
      </c>
      <c r="AE36" s="517">
        <f>Summary_Services!V36</f>
        <v>0</v>
      </c>
      <c r="AF36" s="517">
        <f>Summary_Services!W36</f>
        <v>0</v>
      </c>
      <c r="AG36" s="517"/>
      <c r="AH36" s="517">
        <f t="shared" si="10"/>
        <v>0</v>
      </c>
      <c r="AI36" s="517">
        <f t="shared" si="11"/>
        <v>0</v>
      </c>
      <c r="AJ36" s="517">
        <f t="shared" si="12"/>
        <v>0</v>
      </c>
      <c r="AK36" s="517">
        <f t="shared" si="13"/>
        <v>0</v>
      </c>
      <c r="AL36" s="517">
        <f t="shared" si="14"/>
        <v>0</v>
      </c>
      <c r="AM36" s="517">
        <f t="shared" si="15"/>
        <v>0</v>
      </c>
      <c r="AN36" s="517"/>
      <c r="AO36" s="517">
        <f t="shared" si="16"/>
        <v>0</v>
      </c>
      <c r="AP36" s="517">
        <f t="shared" si="17"/>
        <v>0</v>
      </c>
      <c r="AQ36" s="517">
        <f t="shared" si="18"/>
        <v>0</v>
      </c>
      <c r="AR36" s="517">
        <f t="shared" si="19"/>
        <v>0</v>
      </c>
      <c r="AS36" s="517">
        <f t="shared" si="20"/>
        <v>0</v>
      </c>
      <c r="AT36" s="517">
        <f t="shared" si="21"/>
        <v>0</v>
      </c>
      <c r="AU36" s="517"/>
      <c r="AV36" s="517">
        <f t="shared" si="22"/>
        <v>0</v>
      </c>
      <c r="AW36" s="517">
        <f t="shared" si="23"/>
        <v>0</v>
      </c>
      <c r="AX36" s="517">
        <f t="shared" si="24"/>
        <v>0</v>
      </c>
      <c r="AY36" s="517">
        <f t="shared" si="25"/>
        <v>0</v>
      </c>
      <c r="AZ36" s="517">
        <f t="shared" si="26"/>
        <v>0</v>
      </c>
      <c r="BA36" s="517">
        <f t="shared" si="27"/>
        <v>0</v>
      </c>
      <c r="BB36" s="517"/>
      <c r="BC36" s="517" t="e">
        <f>+AH36/Demography!C$10</f>
        <v>#DIV/0!</v>
      </c>
      <c r="BD36" s="517" t="e">
        <f>+AI36/Demography!D$10</f>
        <v>#DIV/0!</v>
      </c>
      <c r="BE36" s="517" t="e">
        <f>+AJ36/Demography!E$10</f>
        <v>#DIV/0!</v>
      </c>
      <c r="BF36" s="517" t="e">
        <f>+AK36/Demography!F$10</f>
        <v>#DIV/0!</v>
      </c>
      <c r="BG36" s="517" t="e">
        <f>+AL36/Demography!G$10</f>
        <v>#DIV/0!</v>
      </c>
      <c r="BH36" s="517" t="e">
        <f>+AM36/Demography!H$10</f>
        <v>#DIV/0!</v>
      </c>
    </row>
    <row r="37" spans="1:60">
      <c r="A37" s="578">
        <v>32</v>
      </c>
      <c r="B37" s="4">
        <f>Summary_TG!B40</f>
        <v>0</v>
      </c>
      <c r="C37" s="4">
        <f>Summary_TG!C40</f>
        <v>0</v>
      </c>
      <c r="D37">
        <f>Summary_Services!E37</f>
        <v>0</v>
      </c>
      <c r="E37">
        <f>Summary_TG!G40</f>
        <v>0</v>
      </c>
      <c r="F37" s="517">
        <f t="shared" si="4"/>
        <v>0</v>
      </c>
      <c r="G37" s="517">
        <f t="shared" si="5"/>
        <v>0</v>
      </c>
      <c r="H37" s="517">
        <f t="shared" si="6"/>
        <v>0</v>
      </c>
      <c r="I37" s="517">
        <f t="shared" si="7"/>
        <v>0</v>
      </c>
      <c r="J37" s="517">
        <f t="shared" si="8"/>
        <v>0</v>
      </c>
      <c r="K37" s="517">
        <f t="shared" si="9"/>
        <v>0</v>
      </c>
      <c r="L37" s="517"/>
      <c r="M37" s="517">
        <f>IF($B37=0,0,(((VLOOKUP(Summary_Services!$F37,lookup_salaries,8,FALSE))*$E37)))</f>
        <v>0</v>
      </c>
      <c r="N37" s="517">
        <f>IF($B37=0,0,(((VLOOKUP(Summary_Services!$F37,lookup_salaries,8,FALSE))*$E37)))</f>
        <v>0</v>
      </c>
      <c r="O37" s="517">
        <f>IF($B37=0,0,(((VLOOKUP(Summary_Services!$F37,lookup_salaries,8,FALSE))*$E37)))</f>
        <v>0</v>
      </c>
      <c r="P37" s="517">
        <f>IF($B37=0,0,(((VLOOKUP(Summary_Services!$F37,lookup_salaries,8,FALSE))*$E37)))</f>
        <v>0</v>
      </c>
      <c r="Q37" s="517">
        <f>IF($B37=0,0,(((VLOOKUP(Summary_Services!$F37,lookup_salaries,8,FALSE))*$E37)))</f>
        <v>0</v>
      </c>
      <c r="R37" s="517">
        <f>IF($B37=0,0,(((VLOOKUP(Summary_Services!$F37,lookup_salaries,8,FALSE))*$E37)))</f>
        <v>0</v>
      </c>
      <c r="S37" s="517"/>
      <c r="T37" s="517">
        <f>IF(Summary_Services!Y37=0,0,Summary_TG!Q40/Summary_Services!Y37)</f>
        <v>0</v>
      </c>
      <c r="U37" s="517">
        <f>IF(Summary_Services!Z37=0,0,Summary_TG!R40/Summary_Services!Z37)</f>
        <v>0</v>
      </c>
      <c r="V37" s="517">
        <f>IF(Summary_Services!AA37=0,0,Summary_TG!S40/Summary_Services!AA37)</f>
        <v>0</v>
      </c>
      <c r="W37" s="517">
        <f>IF(Summary_Services!AB37=0,0,Summary_TG!T40/Summary_Services!AB37)</f>
        <v>0</v>
      </c>
      <c r="X37" s="517">
        <f>IF(Summary_Services!AC37=0,0,Summary_TG!U40/Summary_Services!AC37)</f>
        <v>0</v>
      </c>
      <c r="Y37" s="517">
        <f>IF(Summary_Services!AD37=0,0,Summary_TG!V40/Summary_Services!AD37)</f>
        <v>0</v>
      </c>
      <c r="Z37" s="517"/>
      <c r="AA37" s="517">
        <f>Summary_Services!R37</f>
        <v>0</v>
      </c>
      <c r="AB37" s="517">
        <f>Summary_Services!S37</f>
        <v>0</v>
      </c>
      <c r="AC37" s="517">
        <f>Summary_Services!T37</f>
        <v>0</v>
      </c>
      <c r="AD37" s="517">
        <f>Summary_Services!U37</f>
        <v>0</v>
      </c>
      <c r="AE37" s="517">
        <f>Summary_Services!V37</f>
        <v>0</v>
      </c>
      <c r="AF37" s="517">
        <f>Summary_Services!W37</f>
        <v>0</v>
      </c>
      <c r="AG37" s="517"/>
      <c r="AH37" s="517">
        <f t="shared" si="10"/>
        <v>0</v>
      </c>
      <c r="AI37" s="517">
        <f t="shared" si="11"/>
        <v>0</v>
      </c>
      <c r="AJ37" s="517">
        <f t="shared" si="12"/>
        <v>0</v>
      </c>
      <c r="AK37" s="517">
        <f t="shared" si="13"/>
        <v>0</v>
      </c>
      <c r="AL37" s="517">
        <f t="shared" si="14"/>
        <v>0</v>
      </c>
      <c r="AM37" s="517">
        <f t="shared" si="15"/>
        <v>0</v>
      </c>
      <c r="AN37" s="517"/>
      <c r="AO37" s="517">
        <f t="shared" si="16"/>
        <v>0</v>
      </c>
      <c r="AP37" s="517">
        <f t="shared" si="17"/>
        <v>0</v>
      </c>
      <c r="AQ37" s="517">
        <f t="shared" si="18"/>
        <v>0</v>
      </c>
      <c r="AR37" s="517">
        <f t="shared" si="19"/>
        <v>0</v>
      </c>
      <c r="AS37" s="517">
        <f t="shared" si="20"/>
        <v>0</v>
      </c>
      <c r="AT37" s="517">
        <f t="shared" si="21"/>
        <v>0</v>
      </c>
      <c r="AU37" s="517"/>
      <c r="AV37" s="517">
        <f t="shared" si="22"/>
        <v>0</v>
      </c>
      <c r="AW37" s="517">
        <f t="shared" si="23"/>
        <v>0</v>
      </c>
      <c r="AX37" s="517">
        <f t="shared" si="24"/>
        <v>0</v>
      </c>
      <c r="AY37" s="517">
        <f t="shared" si="25"/>
        <v>0</v>
      </c>
      <c r="AZ37" s="517">
        <f t="shared" si="26"/>
        <v>0</v>
      </c>
      <c r="BA37" s="517">
        <f t="shared" si="27"/>
        <v>0</v>
      </c>
      <c r="BB37" s="517"/>
      <c r="BC37" s="517" t="e">
        <f>+AH37/Demography!C$10</f>
        <v>#DIV/0!</v>
      </c>
      <c r="BD37" s="517" t="e">
        <f>+AI37/Demography!D$10</f>
        <v>#DIV/0!</v>
      </c>
      <c r="BE37" s="517" t="e">
        <f>+AJ37/Demography!E$10</f>
        <v>#DIV/0!</v>
      </c>
      <c r="BF37" s="517" t="e">
        <f>+AK37/Demography!F$10</f>
        <v>#DIV/0!</v>
      </c>
      <c r="BG37" s="517" t="e">
        <f>+AL37/Demography!G$10</f>
        <v>#DIV/0!</v>
      </c>
      <c r="BH37" s="517" t="e">
        <f>+AM37/Demography!H$10</f>
        <v>#DIV/0!</v>
      </c>
    </row>
    <row r="38" spans="1:60">
      <c r="A38" s="578">
        <v>33</v>
      </c>
      <c r="B38" s="4">
        <f>Summary_TG!B41</f>
        <v>0</v>
      </c>
      <c r="C38" s="4">
        <f>Summary_TG!C41</f>
        <v>0</v>
      </c>
      <c r="D38">
        <f>Summary_Services!E38</f>
        <v>0</v>
      </c>
      <c r="E38">
        <f>Summary_TG!G41</f>
        <v>0</v>
      </c>
      <c r="F38" s="517">
        <f t="shared" si="4"/>
        <v>0</v>
      </c>
      <c r="G38" s="517">
        <f t="shared" si="5"/>
        <v>0</v>
      </c>
      <c r="H38" s="517">
        <f t="shared" si="6"/>
        <v>0</v>
      </c>
      <c r="I38" s="517">
        <f t="shared" si="7"/>
        <v>0</v>
      </c>
      <c r="J38" s="517">
        <f t="shared" si="8"/>
        <v>0</v>
      </c>
      <c r="K38" s="517">
        <f t="shared" si="9"/>
        <v>0</v>
      </c>
      <c r="L38" s="517"/>
      <c r="M38" s="517">
        <f>IF($B38=0,0,(((VLOOKUP(Summary_Services!$F38,lookup_salaries,8,FALSE))*$E38)))</f>
        <v>0</v>
      </c>
      <c r="N38" s="517">
        <f>IF($B38=0,0,(((VLOOKUP(Summary_Services!$F38,lookup_salaries,8,FALSE))*$E38)))</f>
        <v>0</v>
      </c>
      <c r="O38" s="517">
        <f>IF($B38=0,0,(((VLOOKUP(Summary_Services!$F38,lookup_salaries,8,FALSE))*$E38)))</f>
        <v>0</v>
      </c>
      <c r="P38" s="517">
        <f>IF($B38=0,0,(((VLOOKUP(Summary_Services!$F38,lookup_salaries,8,FALSE))*$E38)))</f>
        <v>0</v>
      </c>
      <c r="Q38" s="517">
        <f>IF($B38=0,0,(((VLOOKUP(Summary_Services!$F38,lookup_salaries,8,FALSE))*$E38)))</f>
        <v>0</v>
      </c>
      <c r="R38" s="517">
        <f>IF($B38=0,0,(((VLOOKUP(Summary_Services!$F38,lookup_salaries,8,FALSE))*$E38)))</f>
        <v>0</v>
      </c>
      <c r="S38" s="517"/>
      <c r="T38" s="517">
        <f>IF(Summary_Services!Y38=0,0,Summary_TG!Q41/Summary_Services!Y38)</f>
        <v>0</v>
      </c>
      <c r="U38" s="517">
        <f>IF(Summary_Services!Z38=0,0,Summary_TG!R41/Summary_Services!Z38)</f>
        <v>0</v>
      </c>
      <c r="V38" s="517">
        <f>IF(Summary_Services!AA38=0,0,Summary_TG!S41/Summary_Services!AA38)</f>
        <v>0</v>
      </c>
      <c r="W38" s="517">
        <f>IF(Summary_Services!AB38=0,0,Summary_TG!T41/Summary_Services!AB38)</f>
        <v>0</v>
      </c>
      <c r="X38" s="517">
        <f>IF(Summary_Services!AC38=0,0,Summary_TG!U41/Summary_Services!AC38)</f>
        <v>0</v>
      </c>
      <c r="Y38" s="517">
        <f>IF(Summary_Services!AD38=0,0,Summary_TG!V41/Summary_Services!AD38)</f>
        <v>0</v>
      </c>
      <c r="Z38" s="517"/>
      <c r="AA38" s="517">
        <f>Summary_Services!R38</f>
        <v>0</v>
      </c>
      <c r="AB38" s="517">
        <f>Summary_Services!S38</f>
        <v>0</v>
      </c>
      <c r="AC38" s="517">
        <f>Summary_Services!T38</f>
        <v>0</v>
      </c>
      <c r="AD38" s="517">
        <f>Summary_Services!U38</f>
        <v>0</v>
      </c>
      <c r="AE38" s="517">
        <f>Summary_Services!V38</f>
        <v>0</v>
      </c>
      <c r="AF38" s="517">
        <f>Summary_Services!W38</f>
        <v>0</v>
      </c>
      <c r="AG38" s="517"/>
      <c r="AH38" s="517">
        <f t="shared" si="10"/>
        <v>0</v>
      </c>
      <c r="AI38" s="517">
        <f t="shared" si="11"/>
        <v>0</v>
      </c>
      <c r="AJ38" s="517">
        <f t="shared" si="12"/>
        <v>0</v>
      </c>
      <c r="AK38" s="517">
        <f t="shared" si="13"/>
        <v>0</v>
      </c>
      <c r="AL38" s="517">
        <f t="shared" si="14"/>
        <v>0</v>
      </c>
      <c r="AM38" s="517">
        <f t="shared" si="15"/>
        <v>0</v>
      </c>
      <c r="AN38" s="517"/>
      <c r="AO38" s="517">
        <f t="shared" si="16"/>
        <v>0</v>
      </c>
      <c r="AP38" s="517">
        <f t="shared" si="17"/>
        <v>0</v>
      </c>
      <c r="AQ38" s="517">
        <f t="shared" si="18"/>
        <v>0</v>
      </c>
      <c r="AR38" s="517">
        <f t="shared" si="19"/>
        <v>0</v>
      </c>
      <c r="AS38" s="517">
        <f t="shared" si="20"/>
        <v>0</v>
      </c>
      <c r="AT38" s="517">
        <f t="shared" si="21"/>
        <v>0</v>
      </c>
      <c r="AU38" s="517"/>
      <c r="AV38" s="517">
        <f t="shared" si="22"/>
        <v>0</v>
      </c>
      <c r="AW38" s="517">
        <f t="shared" si="23"/>
        <v>0</v>
      </c>
      <c r="AX38" s="517">
        <f t="shared" si="24"/>
        <v>0</v>
      </c>
      <c r="AY38" s="517">
        <f t="shared" si="25"/>
        <v>0</v>
      </c>
      <c r="AZ38" s="517">
        <f t="shared" si="26"/>
        <v>0</v>
      </c>
      <c r="BA38" s="517">
        <f t="shared" si="27"/>
        <v>0</v>
      </c>
      <c r="BB38" s="517"/>
      <c r="BC38" s="517" t="e">
        <f>+AH38/Demography!C$10</f>
        <v>#DIV/0!</v>
      </c>
      <c r="BD38" s="517" t="e">
        <f>+AI38/Demography!D$10</f>
        <v>#DIV/0!</v>
      </c>
      <c r="BE38" s="517" t="e">
        <f>+AJ38/Demography!E$10</f>
        <v>#DIV/0!</v>
      </c>
      <c r="BF38" s="517" t="e">
        <f>+AK38/Demography!F$10</f>
        <v>#DIV/0!</v>
      </c>
      <c r="BG38" s="517" t="e">
        <f>+AL38/Demography!G$10</f>
        <v>#DIV/0!</v>
      </c>
      <c r="BH38" s="517" t="e">
        <f>+AM38/Demography!H$10</f>
        <v>#DIV/0!</v>
      </c>
    </row>
    <row r="39" spans="1:60">
      <c r="A39" s="578">
        <v>34</v>
      </c>
      <c r="B39" s="4">
        <f>Summary_TG!B42</f>
        <v>0</v>
      </c>
      <c r="C39" s="4">
        <f>Summary_TG!C42</f>
        <v>0</v>
      </c>
      <c r="D39">
        <f>Summary_Services!E39</f>
        <v>0</v>
      </c>
      <c r="E39">
        <f>Summary_TG!G42</f>
        <v>0</v>
      </c>
      <c r="F39" s="517">
        <f t="shared" si="4"/>
        <v>0</v>
      </c>
      <c r="G39" s="517">
        <f t="shared" si="5"/>
        <v>0</v>
      </c>
      <c r="H39" s="517">
        <f t="shared" si="6"/>
        <v>0</v>
      </c>
      <c r="I39" s="517">
        <f t="shared" si="7"/>
        <v>0</v>
      </c>
      <c r="J39" s="517">
        <f t="shared" si="8"/>
        <v>0</v>
      </c>
      <c r="K39" s="517">
        <f t="shared" si="9"/>
        <v>0</v>
      </c>
      <c r="L39" s="517"/>
      <c r="M39" s="517">
        <f>IF($B39=0,0,(((VLOOKUP(Summary_Services!$F39,lookup_salaries,8,FALSE))*$E39)))</f>
        <v>0</v>
      </c>
      <c r="N39" s="517">
        <f>IF($B39=0,0,(((VLOOKUP(Summary_Services!$F39,lookup_salaries,8,FALSE))*$E39)))</f>
        <v>0</v>
      </c>
      <c r="O39" s="517">
        <f>IF($B39=0,0,(((VLOOKUP(Summary_Services!$F39,lookup_salaries,8,FALSE))*$E39)))</f>
        <v>0</v>
      </c>
      <c r="P39" s="517">
        <f>IF($B39=0,0,(((VLOOKUP(Summary_Services!$F39,lookup_salaries,8,FALSE))*$E39)))</f>
        <v>0</v>
      </c>
      <c r="Q39" s="517">
        <f>IF($B39=0,0,(((VLOOKUP(Summary_Services!$F39,lookup_salaries,8,FALSE))*$E39)))</f>
        <v>0</v>
      </c>
      <c r="R39" s="517">
        <f>IF($B39=0,0,(((VLOOKUP(Summary_Services!$F39,lookup_salaries,8,FALSE))*$E39)))</f>
        <v>0</v>
      </c>
      <c r="S39" s="517"/>
      <c r="T39" s="517">
        <f>IF(Summary_Services!Y39=0,0,Summary_TG!Q42/Summary_Services!Y39)</f>
        <v>0</v>
      </c>
      <c r="U39" s="517">
        <f>IF(Summary_Services!Z39=0,0,Summary_TG!R42/Summary_Services!Z39)</f>
        <v>0</v>
      </c>
      <c r="V39" s="517">
        <f>IF(Summary_Services!AA39=0,0,Summary_TG!S42/Summary_Services!AA39)</f>
        <v>0</v>
      </c>
      <c r="W39" s="517">
        <f>IF(Summary_Services!AB39=0,0,Summary_TG!T42/Summary_Services!AB39)</f>
        <v>0</v>
      </c>
      <c r="X39" s="517">
        <f>IF(Summary_Services!AC39=0,0,Summary_TG!U42/Summary_Services!AC39)</f>
        <v>0</v>
      </c>
      <c r="Y39" s="517">
        <f>IF(Summary_Services!AD39=0,0,Summary_TG!V42/Summary_Services!AD39)</f>
        <v>0</v>
      </c>
      <c r="Z39" s="517"/>
      <c r="AA39" s="517">
        <f>Summary_Services!R39</f>
        <v>0</v>
      </c>
      <c r="AB39" s="517">
        <f>Summary_Services!S39</f>
        <v>0</v>
      </c>
      <c r="AC39" s="517">
        <f>Summary_Services!T39</f>
        <v>0</v>
      </c>
      <c r="AD39" s="517">
        <f>Summary_Services!U39</f>
        <v>0</v>
      </c>
      <c r="AE39" s="517">
        <f>Summary_Services!V39</f>
        <v>0</v>
      </c>
      <c r="AF39" s="517">
        <f>Summary_Services!W39</f>
        <v>0</v>
      </c>
      <c r="AG39" s="517"/>
      <c r="AH39" s="517">
        <f t="shared" si="10"/>
        <v>0</v>
      </c>
      <c r="AI39" s="517">
        <f t="shared" si="11"/>
        <v>0</v>
      </c>
      <c r="AJ39" s="517">
        <f t="shared" si="12"/>
        <v>0</v>
      </c>
      <c r="AK39" s="517">
        <f t="shared" si="13"/>
        <v>0</v>
      </c>
      <c r="AL39" s="517">
        <f t="shared" si="14"/>
        <v>0</v>
      </c>
      <c r="AM39" s="517">
        <f t="shared" si="15"/>
        <v>0</v>
      </c>
      <c r="AN39" s="517"/>
      <c r="AO39" s="517">
        <f t="shared" si="16"/>
        <v>0</v>
      </c>
      <c r="AP39" s="517">
        <f t="shared" si="17"/>
        <v>0</v>
      </c>
      <c r="AQ39" s="517">
        <f t="shared" si="18"/>
        <v>0</v>
      </c>
      <c r="AR39" s="517">
        <f t="shared" si="19"/>
        <v>0</v>
      </c>
      <c r="AS39" s="517">
        <f t="shared" si="20"/>
        <v>0</v>
      </c>
      <c r="AT39" s="517">
        <f t="shared" si="21"/>
        <v>0</v>
      </c>
      <c r="AU39" s="517"/>
      <c r="AV39" s="517">
        <f t="shared" si="22"/>
        <v>0</v>
      </c>
      <c r="AW39" s="517">
        <f t="shared" si="23"/>
        <v>0</v>
      </c>
      <c r="AX39" s="517">
        <f t="shared" si="24"/>
        <v>0</v>
      </c>
      <c r="AY39" s="517">
        <f t="shared" si="25"/>
        <v>0</v>
      </c>
      <c r="AZ39" s="517">
        <f t="shared" si="26"/>
        <v>0</v>
      </c>
      <c r="BA39" s="517">
        <f t="shared" si="27"/>
        <v>0</v>
      </c>
      <c r="BB39" s="517"/>
      <c r="BC39" s="517" t="e">
        <f>+AH39/Demography!C$10</f>
        <v>#DIV/0!</v>
      </c>
      <c r="BD39" s="517" t="e">
        <f>+AI39/Demography!D$10</f>
        <v>#DIV/0!</v>
      </c>
      <c r="BE39" s="517" t="e">
        <f>+AJ39/Demography!E$10</f>
        <v>#DIV/0!</v>
      </c>
      <c r="BF39" s="517" t="e">
        <f>+AK39/Demography!F$10</f>
        <v>#DIV/0!</v>
      </c>
      <c r="BG39" s="517" t="e">
        <f>+AL39/Demography!G$10</f>
        <v>#DIV/0!</v>
      </c>
      <c r="BH39" s="517" t="e">
        <f>+AM39/Demography!H$10</f>
        <v>#DIV/0!</v>
      </c>
    </row>
    <row r="40" spans="1:60">
      <c r="A40" s="578">
        <v>35</v>
      </c>
      <c r="B40" s="4">
        <f>Summary_TG!B43</f>
        <v>0</v>
      </c>
      <c r="C40" s="4">
        <f>Summary_TG!C43</f>
        <v>0</v>
      </c>
      <c r="D40">
        <f>Summary_Services!E40</f>
        <v>0</v>
      </c>
      <c r="E40">
        <f>Summary_TG!G43</f>
        <v>0</v>
      </c>
      <c r="F40" s="517">
        <f t="shared" si="4"/>
        <v>0</v>
      </c>
      <c r="G40" s="517">
        <f t="shared" si="5"/>
        <v>0</v>
      </c>
      <c r="H40" s="517">
        <f t="shared" si="6"/>
        <v>0</v>
      </c>
      <c r="I40" s="517">
        <f t="shared" si="7"/>
        <v>0</v>
      </c>
      <c r="J40" s="517">
        <f t="shared" si="8"/>
        <v>0</v>
      </c>
      <c r="K40" s="517">
        <f t="shared" si="9"/>
        <v>0</v>
      </c>
      <c r="L40" s="517"/>
      <c r="M40" s="517">
        <f>IF($B40=0,0,(((VLOOKUP(Summary_Services!$F40,lookup_salaries,8,FALSE))*$E40)))</f>
        <v>0</v>
      </c>
      <c r="N40" s="517">
        <f>IF($B40=0,0,(((VLOOKUP(Summary_Services!$F40,lookup_salaries,8,FALSE))*$E40)))</f>
        <v>0</v>
      </c>
      <c r="O40" s="517">
        <f>IF($B40=0,0,(((VLOOKUP(Summary_Services!$F40,lookup_salaries,8,FALSE))*$E40)))</f>
        <v>0</v>
      </c>
      <c r="P40" s="517">
        <f>IF($B40=0,0,(((VLOOKUP(Summary_Services!$F40,lookup_salaries,8,FALSE))*$E40)))</f>
        <v>0</v>
      </c>
      <c r="Q40" s="517">
        <f>IF($B40=0,0,(((VLOOKUP(Summary_Services!$F40,lookup_salaries,8,FALSE))*$E40)))</f>
        <v>0</v>
      </c>
      <c r="R40" s="517">
        <f>IF($B40=0,0,(((VLOOKUP(Summary_Services!$F40,lookup_salaries,8,FALSE))*$E40)))</f>
        <v>0</v>
      </c>
      <c r="S40" s="517"/>
      <c r="T40" s="517">
        <f>IF(Summary_Services!Y40=0,0,Summary_TG!Q43/Summary_Services!Y40)</f>
        <v>0</v>
      </c>
      <c r="U40" s="517">
        <f>IF(Summary_Services!Z40=0,0,Summary_TG!R43/Summary_Services!Z40)</f>
        <v>0</v>
      </c>
      <c r="V40" s="517">
        <f>IF(Summary_Services!AA40=0,0,Summary_TG!S43/Summary_Services!AA40)</f>
        <v>0</v>
      </c>
      <c r="W40" s="517">
        <f>IF(Summary_Services!AB40=0,0,Summary_TG!T43/Summary_Services!AB40)</f>
        <v>0</v>
      </c>
      <c r="X40" s="517">
        <f>IF(Summary_Services!AC40=0,0,Summary_TG!U43/Summary_Services!AC40)</f>
        <v>0</v>
      </c>
      <c r="Y40" s="517">
        <f>IF(Summary_Services!AD40=0,0,Summary_TG!V43/Summary_Services!AD40)</f>
        <v>0</v>
      </c>
      <c r="Z40" s="517"/>
      <c r="AA40" s="517">
        <f>Summary_Services!R40</f>
        <v>0</v>
      </c>
      <c r="AB40" s="517">
        <f>Summary_Services!S40</f>
        <v>0</v>
      </c>
      <c r="AC40" s="517">
        <f>Summary_Services!T40</f>
        <v>0</v>
      </c>
      <c r="AD40" s="517">
        <f>Summary_Services!U40</f>
        <v>0</v>
      </c>
      <c r="AE40" s="517">
        <f>Summary_Services!V40</f>
        <v>0</v>
      </c>
      <c r="AF40" s="517">
        <f>Summary_Services!W40</f>
        <v>0</v>
      </c>
      <c r="AG40" s="517"/>
      <c r="AH40" s="517">
        <f t="shared" si="10"/>
        <v>0</v>
      </c>
      <c r="AI40" s="517">
        <f t="shared" si="11"/>
        <v>0</v>
      </c>
      <c r="AJ40" s="517">
        <f t="shared" si="12"/>
        <v>0</v>
      </c>
      <c r="AK40" s="517">
        <f t="shared" si="13"/>
        <v>0</v>
      </c>
      <c r="AL40" s="517">
        <f t="shared" si="14"/>
        <v>0</v>
      </c>
      <c r="AM40" s="517">
        <f t="shared" si="15"/>
        <v>0</v>
      </c>
      <c r="AN40" s="517"/>
      <c r="AO40" s="517">
        <f t="shared" si="16"/>
        <v>0</v>
      </c>
      <c r="AP40" s="517">
        <f t="shared" si="17"/>
        <v>0</v>
      </c>
      <c r="AQ40" s="517">
        <f t="shared" si="18"/>
        <v>0</v>
      </c>
      <c r="AR40" s="517">
        <f t="shared" si="19"/>
        <v>0</v>
      </c>
      <c r="AS40" s="517">
        <f t="shared" si="20"/>
        <v>0</v>
      </c>
      <c r="AT40" s="517">
        <f t="shared" si="21"/>
        <v>0</v>
      </c>
      <c r="AU40" s="517"/>
      <c r="AV40" s="517">
        <f t="shared" si="22"/>
        <v>0</v>
      </c>
      <c r="AW40" s="517">
        <f t="shared" si="23"/>
        <v>0</v>
      </c>
      <c r="AX40" s="517">
        <f t="shared" si="24"/>
        <v>0</v>
      </c>
      <c r="AY40" s="517">
        <f t="shared" si="25"/>
        <v>0</v>
      </c>
      <c r="AZ40" s="517">
        <f t="shared" si="26"/>
        <v>0</v>
      </c>
      <c r="BA40" s="517">
        <f t="shared" si="27"/>
        <v>0</v>
      </c>
      <c r="BB40" s="517"/>
      <c r="BC40" s="517" t="e">
        <f>+AH40/Demography!C$10</f>
        <v>#DIV/0!</v>
      </c>
      <c r="BD40" s="517" t="e">
        <f>+AI40/Demography!D$10</f>
        <v>#DIV/0!</v>
      </c>
      <c r="BE40" s="517" t="e">
        <f>+AJ40/Demography!E$10</f>
        <v>#DIV/0!</v>
      </c>
      <c r="BF40" s="517" t="e">
        <f>+AK40/Demography!F$10</f>
        <v>#DIV/0!</v>
      </c>
      <c r="BG40" s="517" t="e">
        <f>+AL40/Demography!G$10</f>
        <v>#DIV/0!</v>
      </c>
      <c r="BH40" s="517" t="e">
        <f>+AM40/Demography!H$10</f>
        <v>#DIV/0!</v>
      </c>
    </row>
    <row r="41" spans="1:60">
      <c r="A41" s="578">
        <v>36</v>
      </c>
      <c r="B41" s="4">
        <f>Summary_TG!B44</f>
        <v>0</v>
      </c>
      <c r="C41" s="4">
        <f>Summary_TG!C44</f>
        <v>0</v>
      </c>
      <c r="D41">
        <f>Summary_Services!E41</f>
        <v>0</v>
      </c>
      <c r="E41">
        <f>Summary_TG!G44</f>
        <v>0</v>
      </c>
      <c r="F41" s="517">
        <f t="shared" si="4"/>
        <v>0</v>
      </c>
      <c r="G41" s="517">
        <f t="shared" si="5"/>
        <v>0</v>
      </c>
      <c r="H41" s="517">
        <f t="shared" si="6"/>
        <v>0</v>
      </c>
      <c r="I41" s="517">
        <f t="shared" si="7"/>
        <v>0</v>
      </c>
      <c r="J41" s="517">
        <f t="shared" si="8"/>
        <v>0</v>
      </c>
      <c r="K41" s="517">
        <f t="shared" si="9"/>
        <v>0</v>
      </c>
      <c r="L41" s="517"/>
      <c r="M41" s="517">
        <f>IF($B41=0,0,(((VLOOKUP(Summary_Services!$F41,lookup_salaries,8,FALSE))*$E41)))</f>
        <v>0</v>
      </c>
      <c r="N41" s="517">
        <f>IF($B41=0,0,(((VLOOKUP(Summary_Services!$F41,lookup_salaries,8,FALSE))*$E41)))</f>
        <v>0</v>
      </c>
      <c r="O41" s="517">
        <f>IF($B41=0,0,(((VLOOKUP(Summary_Services!$F41,lookup_salaries,8,FALSE))*$E41)))</f>
        <v>0</v>
      </c>
      <c r="P41" s="517">
        <f>IF($B41=0,0,(((VLOOKUP(Summary_Services!$F41,lookup_salaries,8,FALSE))*$E41)))</f>
        <v>0</v>
      </c>
      <c r="Q41" s="517">
        <f>IF($B41=0,0,(((VLOOKUP(Summary_Services!$F41,lookup_salaries,8,FALSE))*$E41)))</f>
        <v>0</v>
      </c>
      <c r="R41" s="517">
        <f>IF($B41=0,0,(((VLOOKUP(Summary_Services!$F41,lookup_salaries,8,FALSE))*$E41)))</f>
        <v>0</v>
      </c>
      <c r="S41" s="517"/>
      <c r="T41" s="517">
        <f>IF(Summary_Services!Y41=0,0,Summary_TG!Q44/Summary_Services!Y41)</f>
        <v>0</v>
      </c>
      <c r="U41" s="517">
        <f>IF(Summary_Services!Z41=0,0,Summary_TG!R44/Summary_Services!Z41)</f>
        <v>0</v>
      </c>
      <c r="V41" s="517">
        <f>IF(Summary_Services!AA41=0,0,Summary_TG!S44/Summary_Services!AA41)</f>
        <v>0</v>
      </c>
      <c r="W41" s="517">
        <f>IF(Summary_Services!AB41=0,0,Summary_TG!T44/Summary_Services!AB41)</f>
        <v>0</v>
      </c>
      <c r="X41" s="517">
        <f>IF(Summary_Services!AC41=0,0,Summary_TG!U44/Summary_Services!AC41)</f>
        <v>0</v>
      </c>
      <c r="Y41" s="517">
        <f>IF(Summary_Services!AD41=0,0,Summary_TG!V44/Summary_Services!AD41)</f>
        <v>0</v>
      </c>
      <c r="Z41" s="517"/>
      <c r="AA41" s="517">
        <f>Summary_Services!R41</f>
        <v>0</v>
      </c>
      <c r="AB41" s="517">
        <f>Summary_Services!S41</f>
        <v>0</v>
      </c>
      <c r="AC41" s="517">
        <f>Summary_Services!T41</f>
        <v>0</v>
      </c>
      <c r="AD41" s="517">
        <f>Summary_Services!U41</f>
        <v>0</v>
      </c>
      <c r="AE41" s="517">
        <f>Summary_Services!V41</f>
        <v>0</v>
      </c>
      <c r="AF41" s="517">
        <f>Summary_Services!W41</f>
        <v>0</v>
      </c>
      <c r="AG41" s="517"/>
      <c r="AH41" s="517">
        <f t="shared" si="10"/>
        <v>0</v>
      </c>
      <c r="AI41" s="517">
        <f t="shared" si="11"/>
        <v>0</v>
      </c>
      <c r="AJ41" s="517">
        <f t="shared" si="12"/>
        <v>0</v>
      </c>
      <c r="AK41" s="517">
        <f t="shared" si="13"/>
        <v>0</v>
      </c>
      <c r="AL41" s="517">
        <f t="shared" si="14"/>
        <v>0</v>
      </c>
      <c r="AM41" s="517">
        <f t="shared" si="15"/>
        <v>0</v>
      </c>
      <c r="AN41" s="517"/>
      <c r="AO41" s="517">
        <f t="shared" si="16"/>
        <v>0</v>
      </c>
      <c r="AP41" s="517">
        <f t="shared" si="17"/>
        <v>0</v>
      </c>
      <c r="AQ41" s="517">
        <f t="shared" si="18"/>
        <v>0</v>
      </c>
      <c r="AR41" s="517">
        <f t="shared" si="19"/>
        <v>0</v>
      </c>
      <c r="AS41" s="517">
        <f t="shared" si="20"/>
        <v>0</v>
      </c>
      <c r="AT41" s="517">
        <f t="shared" si="21"/>
        <v>0</v>
      </c>
      <c r="AU41" s="517"/>
      <c r="AV41" s="517">
        <f t="shared" si="22"/>
        <v>0</v>
      </c>
      <c r="AW41" s="517">
        <f t="shared" si="23"/>
        <v>0</v>
      </c>
      <c r="AX41" s="517">
        <f t="shared" si="24"/>
        <v>0</v>
      </c>
      <c r="AY41" s="517">
        <f t="shared" si="25"/>
        <v>0</v>
      </c>
      <c r="AZ41" s="517">
        <f t="shared" si="26"/>
        <v>0</v>
      </c>
      <c r="BA41" s="517">
        <f t="shared" si="27"/>
        <v>0</v>
      </c>
      <c r="BB41" s="517"/>
      <c r="BC41" s="517" t="e">
        <f>+AH41/Demography!C$10</f>
        <v>#DIV/0!</v>
      </c>
      <c r="BD41" s="517" t="e">
        <f>+AI41/Demography!D$10</f>
        <v>#DIV/0!</v>
      </c>
      <c r="BE41" s="517" t="e">
        <f>+AJ41/Demography!E$10</f>
        <v>#DIV/0!</v>
      </c>
      <c r="BF41" s="517" t="e">
        <f>+AK41/Demography!F$10</f>
        <v>#DIV/0!</v>
      </c>
      <c r="BG41" s="517" t="e">
        <f>+AL41/Demography!G$10</f>
        <v>#DIV/0!</v>
      </c>
      <c r="BH41" s="517" t="e">
        <f>+AM41/Demography!H$10</f>
        <v>#DIV/0!</v>
      </c>
    </row>
    <row r="42" spans="1:60">
      <c r="A42" s="578">
        <v>37</v>
      </c>
      <c r="B42" s="4">
        <f>Summary_TG!B45</f>
        <v>0</v>
      </c>
      <c r="C42" s="4">
        <f>Summary_TG!C45</f>
        <v>0</v>
      </c>
      <c r="D42">
        <f>Summary_Services!E42</f>
        <v>0</v>
      </c>
      <c r="E42">
        <f>Summary_TG!G45</f>
        <v>0</v>
      </c>
      <c r="F42" s="517">
        <f t="shared" si="4"/>
        <v>0</v>
      </c>
      <c r="G42" s="517">
        <f t="shared" si="5"/>
        <v>0</v>
      </c>
      <c r="H42" s="517">
        <f t="shared" si="6"/>
        <v>0</v>
      </c>
      <c r="I42" s="517">
        <f t="shared" si="7"/>
        <v>0</v>
      </c>
      <c r="J42" s="517">
        <f t="shared" si="8"/>
        <v>0</v>
      </c>
      <c r="K42" s="517">
        <f t="shared" si="9"/>
        <v>0</v>
      </c>
      <c r="L42" s="517"/>
      <c r="M42" s="517">
        <f>IF($B42=0,0,(((VLOOKUP(Summary_Services!$F42,lookup_salaries,8,FALSE))*$E42)))</f>
        <v>0</v>
      </c>
      <c r="N42" s="517">
        <f>IF($B42=0,0,(((VLOOKUP(Summary_Services!$F42,lookup_salaries,8,FALSE))*$E42)))</f>
        <v>0</v>
      </c>
      <c r="O42" s="517">
        <f>IF($B42=0,0,(((VLOOKUP(Summary_Services!$F42,lookup_salaries,8,FALSE))*$E42)))</f>
        <v>0</v>
      </c>
      <c r="P42" s="517">
        <f>IF($B42=0,0,(((VLOOKUP(Summary_Services!$F42,lookup_salaries,8,FALSE))*$E42)))</f>
        <v>0</v>
      </c>
      <c r="Q42" s="517">
        <f>IF($B42=0,0,(((VLOOKUP(Summary_Services!$F42,lookup_salaries,8,FALSE))*$E42)))</f>
        <v>0</v>
      </c>
      <c r="R42" s="517">
        <f>IF($B42=0,0,(((VLOOKUP(Summary_Services!$F42,lookup_salaries,8,FALSE))*$E42)))</f>
        <v>0</v>
      </c>
      <c r="S42" s="517"/>
      <c r="T42" s="517">
        <f>IF(Summary_Services!Y42=0,0,Summary_TG!Q45/Summary_Services!Y42)</f>
        <v>0</v>
      </c>
      <c r="U42" s="517">
        <f>IF(Summary_Services!Z42=0,0,Summary_TG!R45/Summary_Services!Z42)</f>
        <v>0</v>
      </c>
      <c r="V42" s="517">
        <f>IF(Summary_Services!AA42=0,0,Summary_TG!S45/Summary_Services!AA42)</f>
        <v>0</v>
      </c>
      <c r="W42" s="517">
        <f>IF(Summary_Services!AB42=0,0,Summary_TG!T45/Summary_Services!AB42)</f>
        <v>0</v>
      </c>
      <c r="X42" s="517">
        <f>IF(Summary_Services!AC42=0,0,Summary_TG!U45/Summary_Services!AC42)</f>
        <v>0</v>
      </c>
      <c r="Y42" s="517">
        <f>IF(Summary_Services!AD42=0,0,Summary_TG!V45/Summary_Services!AD42)</f>
        <v>0</v>
      </c>
      <c r="Z42" s="517"/>
      <c r="AA42" s="517">
        <f>Summary_Services!R42</f>
        <v>0</v>
      </c>
      <c r="AB42" s="517">
        <f>Summary_Services!S42</f>
        <v>0</v>
      </c>
      <c r="AC42" s="517">
        <f>Summary_Services!T42</f>
        <v>0</v>
      </c>
      <c r="AD42" s="517">
        <f>Summary_Services!U42</f>
        <v>0</v>
      </c>
      <c r="AE42" s="517">
        <f>Summary_Services!V42</f>
        <v>0</v>
      </c>
      <c r="AF42" s="517">
        <f>Summary_Services!W42</f>
        <v>0</v>
      </c>
      <c r="AG42" s="517"/>
      <c r="AH42" s="517">
        <f t="shared" si="10"/>
        <v>0</v>
      </c>
      <c r="AI42" s="517">
        <f t="shared" si="11"/>
        <v>0</v>
      </c>
      <c r="AJ42" s="517">
        <f t="shared" si="12"/>
        <v>0</v>
      </c>
      <c r="AK42" s="517">
        <f t="shared" si="13"/>
        <v>0</v>
      </c>
      <c r="AL42" s="517">
        <f t="shared" si="14"/>
        <v>0</v>
      </c>
      <c r="AM42" s="517">
        <f t="shared" si="15"/>
        <v>0</v>
      </c>
      <c r="AN42" s="517"/>
      <c r="AO42" s="517">
        <f t="shared" si="16"/>
        <v>0</v>
      </c>
      <c r="AP42" s="517">
        <f t="shared" si="17"/>
        <v>0</v>
      </c>
      <c r="AQ42" s="517">
        <f t="shared" si="18"/>
        <v>0</v>
      </c>
      <c r="AR42" s="517">
        <f t="shared" si="19"/>
        <v>0</v>
      </c>
      <c r="AS42" s="517">
        <f t="shared" si="20"/>
        <v>0</v>
      </c>
      <c r="AT42" s="517">
        <f t="shared" si="21"/>
        <v>0</v>
      </c>
      <c r="AU42" s="517"/>
      <c r="AV42" s="517">
        <f t="shared" si="22"/>
        <v>0</v>
      </c>
      <c r="AW42" s="517">
        <f t="shared" si="23"/>
        <v>0</v>
      </c>
      <c r="AX42" s="517">
        <f t="shared" si="24"/>
        <v>0</v>
      </c>
      <c r="AY42" s="517">
        <f t="shared" si="25"/>
        <v>0</v>
      </c>
      <c r="AZ42" s="517">
        <f t="shared" si="26"/>
        <v>0</v>
      </c>
      <c r="BA42" s="517">
        <f t="shared" si="27"/>
        <v>0</v>
      </c>
      <c r="BB42" s="517"/>
      <c r="BC42" s="517" t="e">
        <f>+AH42/Demography!C$10</f>
        <v>#DIV/0!</v>
      </c>
      <c r="BD42" s="517" t="e">
        <f>+AI42/Demography!D$10</f>
        <v>#DIV/0!</v>
      </c>
      <c r="BE42" s="517" t="e">
        <f>+AJ42/Demography!E$10</f>
        <v>#DIV/0!</v>
      </c>
      <c r="BF42" s="517" t="e">
        <f>+AK42/Demography!F$10</f>
        <v>#DIV/0!</v>
      </c>
      <c r="BG42" s="517" t="e">
        <f>+AL42/Demography!G$10</f>
        <v>#DIV/0!</v>
      </c>
      <c r="BH42" s="517" t="e">
        <f>+AM42/Demography!H$10</f>
        <v>#DIV/0!</v>
      </c>
    </row>
    <row r="43" spans="1:60">
      <c r="A43" s="578">
        <v>38</v>
      </c>
      <c r="B43" s="4">
        <f>Summary_TG!B46</f>
        <v>0</v>
      </c>
      <c r="C43" s="4">
        <f>Summary_TG!C46</f>
        <v>0</v>
      </c>
      <c r="D43">
        <f>Summary_Services!E43</f>
        <v>0</v>
      </c>
      <c r="E43">
        <f>Summary_TG!G46</f>
        <v>0</v>
      </c>
      <c r="F43" s="517">
        <f t="shared" si="4"/>
        <v>0</v>
      </c>
      <c r="G43" s="517">
        <f t="shared" si="5"/>
        <v>0</v>
      </c>
      <c r="H43" s="517">
        <f t="shared" si="6"/>
        <v>0</v>
      </c>
      <c r="I43" s="517">
        <f t="shared" si="7"/>
        <v>0</v>
      </c>
      <c r="J43" s="517">
        <f t="shared" si="8"/>
        <v>0</v>
      </c>
      <c r="K43" s="517">
        <f t="shared" si="9"/>
        <v>0</v>
      </c>
      <c r="L43" s="517"/>
      <c r="M43" s="517">
        <f>IF($B43=0,0,(((VLOOKUP(Summary_Services!$F43,lookup_salaries,8,FALSE))*$E43)))</f>
        <v>0</v>
      </c>
      <c r="N43" s="517">
        <f>IF($B43=0,0,(((VLOOKUP(Summary_Services!$F43,lookup_salaries,8,FALSE))*$E43)))</f>
        <v>0</v>
      </c>
      <c r="O43" s="517">
        <f>IF($B43=0,0,(((VLOOKUP(Summary_Services!$F43,lookup_salaries,8,FALSE))*$E43)))</f>
        <v>0</v>
      </c>
      <c r="P43" s="517">
        <f>IF($B43=0,0,(((VLOOKUP(Summary_Services!$F43,lookup_salaries,8,FALSE))*$E43)))</f>
        <v>0</v>
      </c>
      <c r="Q43" s="517">
        <f>IF($B43=0,0,(((VLOOKUP(Summary_Services!$F43,lookup_salaries,8,FALSE))*$E43)))</f>
        <v>0</v>
      </c>
      <c r="R43" s="517">
        <f>IF($B43=0,0,(((VLOOKUP(Summary_Services!$F43,lookup_salaries,8,FALSE))*$E43)))</f>
        <v>0</v>
      </c>
      <c r="S43" s="517"/>
      <c r="T43" s="517">
        <f>IF(Summary_Services!Y43=0,0,Summary_TG!Q46/Summary_Services!Y43)</f>
        <v>0</v>
      </c>
      <c r="U43" s="517">
        <f>IF(Summary_Services!Z43=0,0,Summary_TG!R46/Summary_Services!Z43)</f>
        <v>0</v>
      </c>
      <c r="V43" s="517">
        <f>IF(Summary_Services!AA43=0,0,Summary_TG!S46/Summary_Services!AA43)</f>
        <v>0</v>
      </c>
      <c r="W43" s="517">
        <f>IF(Summary_Services!AB43=0,0,Summary_TG!T46/Summary_Services!AB43)</f>
        <v>0</v>
      </c>
      <c r="X43" s="517">
        <f>IF(Summary_Services!AC43=0,0,Summary_TG!U46/Summary_Services!AC43)</f>
        <v>0</v>
      </c>
      <c r="Y43" s="517">
        <f>IF(Summary_Services!AD43=0,0,Summary_TG!V46/Summary_Services!AD43)</f>
        <v>0</v>
      </c>
      <c r="Z43" s="517"/>
      <c r="AA43" s="517">
        <f>Summary_Services!R43</f>
        <v>0</v>
      </c>
      <c r="AB43" s="517">
        <f>Summary_Services!S43</f>
        <v>0</v>
      </c>
      <c r="AC43" s="517">
        <f>Summary_Services!T43</f>
        <v>0</v>
      </c>
      <c r="AD43" s="517">
        <f>Summary_Services!U43</f>
        <v>0</v>
      </c>
      <c r="AE43" s="517">
        <f>Summary_Services!V43</f>
        <v>0</v>
      </c>
      <c r="AF43" s="517">
        <f>Summary_Services!W43</f>
        <v>0</v>
      </c>
      <c r="AG43" s="517"/>
      <c r="AH43" s="517">
        <f t="shared" si="10"/>
        <v>0</v>
      </c>
      <c r="AI43" s="517">
        <f t="shared" si="11"/>
        <v>0</v>
      </c>
      <c r="AJ43" s="517">
        <f t="shared" si="12"/>
        <v>0</v>
      </c>
      <c r="AK43" s="517">
        <f t="shared" si="13"/>
        <v>0</v>
      </c>
      <c r="AL43" s="517">
        <f t="shared" si="14"/>
        <v>0</v>
      </c>
      <c r="AM43" s="517">
        <f t="shared" si="15"/>
        <v>0</v>
      </c>
      <c r="AN43" s="517"/>
      <c r="AO43" s="517">
        <f t="shared" si="16"/>
        <v>0</v>
      </c>
      <c r="AP43" s="517">
        <f t="shared" si="17"/>
        <v>0</v>
      </c>
      <c r="AQ43" s="517">
        <f t="shared" si="18"/>
        <v>0</v>
      </c>
      <c r="AR43" s="517">
        <f t="shared" si="19"/>
        <v>0</v>
      </c>
      <c r="AS43" s="517">
        <f t="shared" si="20"/>
        <v>0</v>
      </c>
      <c r="AT43" s="517">
        <f t="shared" si="21"/>
        <v>0</v>
      </c>
      <c r="AU43" s="517"/>
      <c r="AV43" s="517">
        <f t="shared" si="22"/>
        <v>0</v>
      </c>
      <c r="AW43" s="517">
        <f t="shared" si="23"/>
        <v>0</v>
      </c>
      <c r="AX43" s="517">
        <f t="shared" si="24"/>
        <v>0</v>
      </c>
      <c r="AY43" s="517">
        <f t="shared" si="25"/>
        <v>0</v>
      </c>
      <c r="AZ43" s="517">
        <f t="shared" si="26"/>
        <v>0</v>
      </c>
      <c r="BA43" s="517">
        <f t="shared" si="27"/>
        <v>0</v>
      </c>
      <c r="BB43" s="517"/>
      <c r="BC43" s="517" t="e">
        <f>+AH43/Demography!C$10</f>
        <v>#DIV/0!</v>
      </c>
      <c r="BD43" s="517" t="e">
        <f>+AI43/Demography!D$10</f>
        <v>#DIV/0!</v>
      </c>
      <c r="BE43" s="517" t="e">
        <f>+AJ43/Demography!E$10</f>
        <v>#DIV/0!</v>
      </c>
      <c r="BF43" s="517" t="e">
        <f>+AK43/Demography!F$10</f>
        <v>#DIV/0!</v>
      </c>
      <c r="BG43" s="517" t="e">
        <f>+AL43/Demography!G$10</f>
        <v>#DIV/0!</v>
      </c>
      <c r="BH43" s="517" t="e">
        <f>+AM43/Demography!H$10</f>
        <v>#DIV/0!</v>
      </c>
    </row>
    <row r="44" spans="1:60">
      <c r="A44" s="578">
        <v>39</v>
      </c>
      <c r="B44" s="4">
        <f>Summary_TG!B47</f>
        <v>0</v>
      </c>
      <c r="C44" s="4">
        <f>Summary_TG!C47</f>
        <v>0</v>
      </c>
      <c r="D44">
        <f>Summary_Services!E44</f>
        <v>0</v>
      </c>
      <c r="E44">
        <f>Summary_TG!G47</f>
        <v>0</v>
      </c>
      <c r="F44" s="517">
        <f t="shared" si="4"/>
        <v>0</v>
      </c>
      <c r="G44" s="517">
        <f t="shared" si="5"/>
        <v>0</v>
      </c>
      <c r="H44" s="517">
        <f t="shared" si="6"/>
        <v>0</v>
      </c>
      <c r="I44" s="517">
        <f t="shared" si="7"/>
        <v>0</v>
      </c>
      <c r="J44" s="517">
        <f t="shared" si="8"/>
        <v>0</v>
      </c>
      <c r="K44" s="517">
        <f t="shared" si="9"/>
        <v>0</v>
      </c>
      <c r="L44" s="517"/>
      <c r="M44" s="517">
        <f>IF($B44=0,0,(((VLOOKUP(Summary_Services!$F44,lookup_salaries,8,FALSE))*$E44)))</f>
        <v>0</v>
      </c>
      <c r="N44" s="517">
        <f>IF($B44=0,0,(((VLOOKUP(Summary_Services!$F44,lookup_salaries,8,FALSE))*$E44)))</f>
        <v>0</v>
      </c>
      <c r="O44" s="517">
        <f>IF($B44=0,0,(((VLOOKUP(Summary_Services!$F44,lookup_salaries,8,FALSE))*$E44)))</f>
        <v>0</v>
      </c>
      <c r="P44" s="517">
        <f>IF($B44=0,0,(((VLOOKUP(Summary_Services!$F44,lookup_salaries,8,FALSE))*$E44)))</f>
        <v>0</v>
      </c>
      <c r="Q44" s="517">
        <f>IF($B44=0,0,(((VLOOKUP(Summary_Services!$F44,lookup_salaries,8,FALSE))*$E44)))</f>
        <v>0</v>
      </c>
      <c r="R44" s="517">
        <f>IF($B44=0,0,(((VLOOKUP(Summary_Services!$F44,lookup_salaries,8,FALSE))*$E44)))</f>
        <v>0</v>
      </c>
      <c r="S44" s="517"/>
      <c r="T44" s="517">
        <f>IF(Summary_Services!Y44=0,0,Summary_TG!Q47/Summary_Services!Y44)</f>
        <v>0</v>
      </c>
      <c r="U44" s="517">
        <f>IF(Summary_Services!Z44=0,0,Summary_TG!R47/Summary_Services!Z44)</f>
        <v>0</v>
      </c>
      <c r="V44" s="517">
        <f>IF(Summary_Services!AA44=0,0,Summary_TG!S47/Summary_Services!AA44)</f>
        <v>0</v>
      </c>
      <c r="W44" s="517">
        <f>IF(Summary_Services!AB44=0,0,Summary_TG!T47/Summary_Services!AB44)</f>
        <v>0</v>
      </c>
      <c r="X44" s="517">
        <f>IF(Summary_Services!AC44=0,0,Summary_TG!U47/Summary_Services!AC44)</f>
        <v>0</v>
      </c>
      <c r="Y44" s="517">
        <f>IF(Summary_Services!AD44=0,0,Summary_TG!V47/Summary_Services!AD44)</f>
        <v>0</v>
      </c>
      <c r="Z44" s="517"/>
      <c r="AA44" s="517">
        <f>Summary_Services!R44</f>
        <v>0</v>
      </c>
      <c r="AB44" s="517">
        <f>Summary_Services!S44</f>
        <v>0</v>
      </c>
      <c r="AC44" s="517">
        <f>Summary_Services!T44</f>
        <v>0</v>
      </c>
      <c r="AD44" s="517">
        <f>Summary_Services!U44</f>
        <v>0</v>
      </c>
      <c r="AE44" s="517">
        <f>Summary_Services!V44</f>
        <v>0</v>
      </c>
      <c r="AF44" s="517">
        <f>Summary_Services!W44</f>
        <v>0</v>
      </c>
      <c r="AG44" s="517"/>
      <c r="AH44" s="517">
        <f t="shared" si="10"/>
        <v>0</v>
      </c>
      <c r="AI44" s="517">
        <f t="shared" si="11"/>
        <v>0</v>
      </c>
      <c r="AJ44" s="517">
        <f t="shared" si="12"/>
        <v>0</v>
      </c>
      <c r="AK44" s="517">
        <f t="shared" si="13"/>
        <v>0</v>
      </c>
      <c r="AL44" s="517">
        <f t="shared" si="14"/>
        <v>0</v>
      </c>
      <c r="AM44" s="517">
        <f t="shared" si="15"/>
        <v>0</v>
      </c>
      <c r="AN44" s="517"/>
      <c r="AO44" s="517">
        <f t="shared" si="16"/>
        <v>0</v>
      </c>
      <c r="AP44" s="517">
        <f t="shared" si="17"/>
        <v>0</v>
      </c>
      <c r="AQ44" s="517">
        <f t="shared" si="18"/>
        <v>0</v>
      </c>
      <c r="AR44" s="517">
        <f t="shared" si="19"/>
        <v>0</v>
      </c>
      <c r="AS44" s="517">
        <f t="shared" si="20"/>
        <v>0</v>
      </c>
      <c r="AT44" s="517">
        <f t="shared" si="21"/>
        <v>0</v>
      </c>
      <c r="AU44" s="517"/>
      <c r="AV44" s="517">
        <f t="shared" si="22"/>
        <v>0</v>
      </c>
      <c r="AW44" s="517">
        <f t="shared" si="23"/>
        <v>0</v>
      </c>
      <c r="AX44" s="517">
        <f t="shared" si="24"/>
        <v>0</v>
      </c>
      <c r="AY44" s="517">
        <f t="shared" si="25"/>
        <v>0</v>
      </c>
      <c r="AZ44" s="517">
        <f t="shared" si="26"/>
        <v>0</v>
      </c>
      <c r="BA44" s="517">
        <f t="shared" si="27"/>
        <v>0</v>
      </c>
      <c r="BB44" s="517"/>
      <c r="BC44" s="517" t="e">
        <f>+AH44/Demography!C$10</f>
        <v>#DIV/0!</v>
      </c>
      <c r="BD44" s="517" t="e">
        <f>+AI44/Demography!D$10</f>
        <v>#DIV/0!</v>
      </c>
      <c r="BE44" s="517" t="e">
        <f>+AJ44/Demography!E$10</f>
        <v>#DIV/0!</v>
      </c>
      <c r="BF44" s="517" t="e">
        <f>+AK44/Demography!F$10</f>
        <v>#DIV/0!</v>
      </c>
      <c r="BG44" s="517" t="e">
        <f>+AL44/Demography!G$10</f>
        <v>#DIV/0!</v>
      </c>
      <c r="BH44" s="517" t="e">
        <f>+AM44/Demography!H$10</f>
        <v>#DIV/0!</v>
      </c>
    </row>
    <row r="45" spans="1:60">
      <c r="A45" s="578">
        <v>40</v>
      </c>
      <c r="B45" s="4">
        <f>Summary_TG!B48</f>
        <v>0</v>
      </c>
      <c r="C45" s="4">
        <f>Summary_TG!C48</f>
        <v>0</v>
      </c>
      <c r="D45">
        <f>Summary_Services!E45</f>
        <v>0</v>
      </c>
      <c r="E45">
        <f>Summary_TG!G48</f>
        <v>0</v>
      </c>
      <c r="F45" s="517">
        <f t="shared" si="4"/>
        <v>0</v>
      </c>
      <c r="G45" s="517">
        <f t="shared" si="5"/>
        <v>0</v>
      </c>
      <c r="H45" s="517">
        <f t="shared" si="6"/>
        <v>0</v>
      </c>
      <c r="I45" s="517">
        <f t="shared" si="7"/>
        <v>0</v>
      </c>
      <c r="J45" s="517">
        <f t="shared" si="8"/>
        <v>0</v>
      </c>
      <c r="K45" s="517">
        <f t="shared" si="9"/>
        <v>0</v>
      </c>
      <c r="L45" s="517"/>
      <c r="M45" s="517">
        <f>IF($B45=0,0,(((VLOOKUP(Summary_Services!$F45,lookup_salaries,8,FALSE))*$E45)))</f>
        <v>0</v>
      </c>
      <c r="N45" s="517">
        <f>IF($B45=0,0,(((VLOOKUP(Summary_Services!$F45,lookup_salaries,8,FALSE))*$E45)))</f>
        <v>0</v>
      </c>
      <c r="O45" s="517">
        <f>IF($B45=0,0,(((VLOOKUP(Summary_Services!$F45,lookup_salaries,8,FALSE))*$E45)))</f>
        <v>0</v>
      </c>
      <c r="P45" s="517">
        <f>IF($B45=0,0,(((VLOOKUP(Summary_Services!$F45,lookup_salaries,8,FALSE))*$E45)))</f>
        <v>0</v>
      </c>
      <c r="Q45" s="517">
        <f>IF($B45=0,0,(((VLOOKUP(Summary_Services!$F45,lookup_salaries,8,FALSE))*$E45)))</f>
        <v>0</v>
      </c>
      <c r="R45" s="517">
        <f>IF($B45=0,0,(((VLOOKUP(Summary_Services!$F45,lookup_salaries,8,FALSE))*$E45)))</f>
        <v>0</v>
      </c>
      <c r="S45" s="517"/>
      <c r="T45" s="517">
        <f>IF(Summary_Services!Y45=0,0,Summary_TG!Q48/Summary_Services!Y45)</f>
        <v>0</v>
      </c>
      <c r="U45" s="517">
        <f>IF(Summary_Services!Z45=0,0,Summary_TG!R48/Summary_Services!Z45)</f>
        <v>0</v>
      </c>
      <c r="V45" s="517">
        <f>IF(Summary_Services!AA45=0,0,Summary_TG!S48/Summary_Services!AA45)</f>
        <v>0</v>
      </c>
      <c r="W45" s="517">
        <f>IF(Summary_Services!AB45=0,0,Summary_TG!T48/Summary_Services!AB45)</f>
        <v>0</v>
      </c>
      <c r="X45" s="517">
        <f>IF(Summary_Services!AC45=0,0,Summary_TG!U48/Summary_Services!AC45)</f>
        <v>0</v>
      </c>
      <c r="Y45" s="517">
        <f>IF(Summary_Services!AD45=0,0,Summary_TG!V48/Summary_Services!AD45)</f>
        <v>0</v>
      </c>
      <c r="Z45" s="517"/>
      <c r="AA45" s="517">
        <f>Summary_Services!R45</f>
        <v>0</v>
      </c>
      <c r="AB45" s="517">
        <f>Summary_Services!S45</f>
        <v>0</v>
      </c>
      <c r="AC45" s="517">
        <f>Summary_Services!T45</f>
        <v>0</v>
      </c>
      <c r="AD45" s="517">
        <f>Summary_Services!U45</f>
        <v>0</v>
      </c>
      <c r="AE45" s="517">
        <f>Summary_Services!V45</f>
        <v>0</v>
      </c>
      <c r="AF45" s="517">
        <f>Summary_Services!W45</f>
        <v>0</v>
      </c>
      <c r="AG45" s="517"/>
      <c r="AH45" s="517">
        <f t="shared" si="10"/>
        <v>0</v>
      </c>
      <c r="AI45" s="517">
        <f t="shared" si="11"/>
        <v>0</v>
      </c>
      <c r="AJ45" s="517">
        <f t="shared" si="12"/>
        <v>0</v>
      </c>
      <c r="AK45" s="517">
        <f t="shared" si="13"/>
        <v>0</v>
      </c>
      <c r="AL45" s="517">
        <f t="shared" si="14"/>
        <v>0</v>
      </c>
      <c r="AM45" s="517">
        <f t="shared" si="15"/>
        <v>0</v>
      </c>
      <c r="AN45" s="517"/>
      <c r="AO45" s="517">
        <f t="shared" si="16"/>
        <v>0</v>
      </c>
      <c r="AP45" s="517">
        <f t="shared" si="17"/>
        <v>0</v>
      </c>
      <c r="AQ45" s="517">
        <f t="shared" si="18"/>
        <v>0</v>
      </c>
      <c r="AR45" s="517">
        <f t="shared" si="19"/>
        <v>0</v>
      </c>
      <c r="AS45" s="517">
        <f t="shared" si="20"/>
        <v>0</v>
      </c>
      <c r="AT45" s="517">
        <f t="shared" si="21"/>
        <v>0</v>
      </c>
      <c r="AU45" s="517"/>
      <c r="AV45" s="517">
        <f t="shared" si="22"/>
        <v>0</v>
      </c>
      <c r="AW45" s="517">
        <f t="shared" si="23"/>
        <v>0</v>
      </c>
      <c r="AX45" s="517">
        <f t="shared" si="24"/>
        <v>0</v>
      </c>
      <c r="AY45" s="517">
        <f t="shared" si="25"/>
        <v>0</v>
      </c>
      <c r="AZ45" s="517">
        <f t="shared" si="26"/>
        <v>0</v>
      </c>
      <c r="BA45" s="517">
        <f t="shared" si="27"/>
        <v>0</v>
      </c>
      <c r="BB45" s="517"/>
      <c r="BC45" s="517" t="e">
        <f>+AH45/Demography!C$10</f>
        <v>#DIV/0!</v>
      </c>
      <c r="BD45" s="517" t="e">
        <f>+AI45/Demography!D$10</f>
        <v>#DIV/0!</v>
      </c>
      <c r="BE45" s="517" t="e">
        <f>+AJ45/Demography!E$10</f>
        <v>#DIV/0!</v>
      </c>
      <c r="BF45" s="517" t="e">
        <f>+AK45/Demography!F$10</f>
        <v>#DIV/0!</v>
      </c>
      <c r="BG45" s="517" t="e">
        <f>+AL45/Demography!G$10</f>
        <v>#DIV/0!</v>
      </c>
      <c r="BH45" s="517" t="e">
        <f>+AM45/Demography!H$10</f>
        <v>#DIV/0!</v>
      </c>
    </row>
    <row r="46" spans="1:60">
      <c r="A46" s="578">
        <v>41</v>
      </c>
      <c r="B46" s="4">
        <f>Summary_TG!B49</f>
        <v>0</v>
      </c>
      <c r="C46" s="4">
        <f>Summary_TG!C49</f>
        <v>0</v>
      </c>
      <c r="D46">
        <f>Summary_Services!E46</f>
        <v>0</v>
      </c>
      <c r="E46">
        <f>Summary_TG!G49</f>
        <v>0</v>
      </c>
      <c r="F46" s="517">
        <f t="shared" si="4"/>
        <v>0</v>
      </c>
      <c r="G46" s="517">
        <f t="shared" si="5"/>
        <v>0</v>
      </c>
      <c r="H46" s="517">
        <f t="shared" si="6"/>
        <v>0</v>
      </c>
      <c r="I46" s="517">
        <f t="shared" si="7"/>
        <v>0</v>
      </c>
      <c r="J46" s="517">
        <f t="shared" si="8"/>
        <v>0</v>
      </c>
      <c r="K46" s="517">
        <f t="shared" si="9"/>
        <v>0</v>
      </c>
      <c r="L46" s="517"/>
      <c r="M46" s="517">
        <f>IF($B46=0,0,(((VLOOKUP(Summary_Services!$F46,lookup_salaries,8,FALSE))*$E46)))</f>
        <v>0</v>
      </c>
      <c r="N46" s="517">
        <f>IF($B46=0,0,(((VLOOKUP(Summary_Services!$F46,lookup_salaries,8,FALSE))*$E46)))</f>
        <v>0</v>
      </c>
      <c r="O46" s="517">
        <f>IF($B46=0,0,(((VLOOKUP(Summary_Services!$F46,lookup_salaries,8,FALSE))*$E46)))</f>
        <v>0</v>
      </c>
      <c r="P46" s="517">
        <f>IF($B46=0,0,(((VLOOKUP(Summary_Services!$F46,lookup_salaries,8,FALSE))*$E46)))</f>
        <v>0</v>
      </c>
      <c r="Q46" s="517">
        <f>IF($B46=0,0,(((VLOOKUP(Summary_Services!$F46,lookup_salaries,8,FALSE))*$E46)))</f>
        <v>0</v>
      </c>
      <c r="R46" s="517">
        <f>IF($B46=0,0,(((VLOOKUP(Summary_Services!$F46,lookup_salaries,8,FALSE))*$E46)))</f>
        <v>0</v>
      </c>
      <c r="S46" s="517"/>
      <c r="T46" s="517">
        <f>IF(Summary_Services!Y46=0,0,Summary_TG!Q49/Summary_Services!Y46)</f>
        <v>0</v>
      </c>
      <c r="U46" s="517">
        <f>IF(Summary_Services!Z46=0,0,Summary_TG!R49/Summary_Services!Z46)</f>
        <v>0</v>
      </c>
      <c r="V46" s="517">
        <f>IF(Summary_Services!AA46=0,0,Summary_TG!S49/Summary_Services!AA46)</f>
        <v>0</v>
      </c>
      <c r="W46" s="517">
        <f>IF(Summary_Services!AB46=0,0,Summary_TG!T49/Summary_Services!AB46)</f>
        <v>0</v>
      </c>
      <c r="X46" s="517">
        <f>IF(Summary_Services!AC46=0,0,Summary_TG!U49/Summary_Services!AC46)</f>
        <v>0</v>
      </c>
      <c r="Y46" s="517">
        <f>IF(Summary_Services!AD46=0,0,Summary_TG!V49/Summary_Services!AD46)</f>
        <v>0</v>
      </c>
      <c r="Z46" s="517"/>
      <c r="AA46" s="517">
        <f>Summary_Services!R46</f>
        <v>0</v>
      </c>
      <c r="AB46" s="517">
        <f>Summary_Services!S46</f>
        <v>0</v>
      </c>
      <c r="AC46" s="517">
        <f>Summary_Services!T46</f>
        <v>0</v>
      </c>
      <c r="AD46" s="517">
        <f>Summary_Services!U46</f>
        <v>0</v>
      </c>
      <c r="AE46" s="517">
        <f>Summary_Services!V46</f>
        <v>0</v>
      </c>
      <c r="AF46" s="517">
        <f>Summary_Services!W46</f>
        <v>0</v>
      </c>
      <c r="AG46" s="517"/>
      <c r="AH46" s="517">
        <f t="shared" si="10"/>
        <v>0</v>
      </c>
      <c r="AI46" s="517">
        <f t="shared" si="11"/>
        <v>0</v>
      </c>
      <c r="AJ46" s="517">
        <f t="shared" si="12"/>
        <v>0</v>
      </c>
      <c r="AK46" s="517">
        <f t="shared" si="13"/>
        <v>0</v>
      </c>
      <c r="AL46" s="517">
        <f t="shared" si="14"/>
        <v>0</v>
      </c>
      <c r="AM46" s="517">
        <f t="shared" si="15"/>
        <v>0</v>
      </c>
      <c r="AN46" s="517"/>
      <c r="AO46" s="517">
        <f t="shared" si="16"/>
        <v>0</v>
      </c>
      <c r="AP46" s="517">
        <f t="shared" si="17"/>
        <v>0</v>
      </c>
      <c r="AQ46" s="517">
        <f t="shared" si="18"/>
        <v>0</v>
      </c>
      <c r="AR46" s="517">
        <f t="shared" si="19"/>
        <v>0</v>
      </c>
      <c r="AS46" s="517">
        <f t="shared" si="20"/>
        <v>0</v>
      </c>
      <c r="AT46" s="517">
        <f t="shared" si="21"/>
        <v>0</v>
      </c>
      <c r="AU46" s="517"/>
      <c r="AV46" s="517">
        <f t="shared" si="22"/>
        <v>0</v>
      </c>
      <c r="AW46" s="517">
        <f t="shared" si="23"/>
        <v>0</v>
      </c>
      <c r="AX46" s="517">
        <f t="shared" si="24"/>
        <v>0</v>
      </c>
      <c r="AY46" s="517">
        <f t="shared" si="25"/>
        <v>0</v>
      </c>
      <c r="AZ46" s="517">
        <f t="shared" si="26"/>
        <v>0</v>
      </c>
      <c r="BA46" s="517">
        <f t="shared" si="27"/>
        <v>0</v>
      </c>
      <c r="BB46" s="517"/>
      <c r="BC46" s="517" t="e">
        <f>+AH46/Demography!C$10</f>
        <v>#DIV/0!</v>
      </c>
      <c r="BD46" s="517" t="e">
        <f>+AI46/Demography!D$10</f>
        <v>#DIV/0!</v>
      </c>
      <c r="BE46" s="517" t="e">
        <f>+AJ46/Demography!E$10</f>
        <v>#DIV/0!</v>
      </c>
      <c r="BF46" s="517" t="e">
        <f>+AK46/Demography!F$10</f>
        <v>#DIV/0!</v>
      </c>
      <c r="BG46" s="517" t="e">
        <f>+AL46/Demography!G$10</f>
        <v>#DIV/0!</v>
      </c>
      <c r="BH46" s="517" t="e">
        <f>+AM46/Demography!H$10</f>
        <v>#DIV/0!</v>
      </c>
    </row>
    <row r="47" spans="1:60">
      <c r="A47" s="578">
        <v>42</v>
      </c>
      <c r="B47" s="4">
        <f>Summary_TG!B50</f>
        <v>0</v>
      </c>
      <c r="C47" s="4">
        <f>Summary_TG!C50</f>
        <v>0</v>
      </c>
      <c r="D47">
        <f>Summary_Services!E47</f>
        <v>0</v>
      </c>
      <c r="E47">
        <f>Summary_TG!G50</f>
        <v>0</v>
      </c>
      <c r="F47" s="517">
        <f t="shared" si="4"/>
        <v>0</v>
      </c>
      <c r="G47" s="517">
        <f t="shared" si="5"/>
        <v>0</v>
      </c>
      <c r="H47" s="517">
        <f t="shared" si="6"/>
        <v>0</v>
      </c>
      <c r="I47" s="517">
        <f t="shared" si="7"/>
        <v>0</v>
      </c>
      <c r="J47" s="517">
        <f t="shared" si="8"/>
        <v>0</v>
      </c>
      <c r="K47" s="517">
        <f t="shared" si="9"/>
        <v>0</v>
      </c>
      <c r="L47" s="517"/>
      <c r="M47" s="517">
        <f>IF($B47=0,0,(((VLOOKUP(Summary_Services!$F47,lookup_salaries,8,FALSE))*$E47)))</f>
        <v>0</v>
      </c>
      <c r="N47" s="517">
        <f>IF($B47=0,0,(((VLOOKUP(Summary_Services!$F47,lookup_salaries,8,FALSE))*$E47)))</f>
        <v>0</v>
      </c>
      <c r="O47" s="517">
        <f>IF($B47=0,0,(((VLOOKUP(Summary_Services!$F47,lookup_salaries,8,FALSE))*$E47)))</f>
        <v>0</v>
      </c>
      <c r="P47" s="517">
        <f>IF($B47=0,0,(((VLOOKUP(Summary_Services!$F47,lookup_salaries,8,FALSE))*$E47)))</f>
        <v>0</v>
      </c>
      <c r="Q47" s="517">
        <f>IF($B47=0,0,(((VLOOKUP(Summary_Services!$F47,lookup_salaries,8,FALSE))*$E47)))</f>
        <v>0</v>
      </c>
      <c r="R47" s="517">
        <f>IF($B47=0,0,(((VLOOKUP(Summary_Services!$F47,lookup_salaries,8,FALSE))*$E47)))</f>
        <v>0</v>
      </c>
      <c r="S47" s="517"/>
      <c r="T47" s="517">
        <f>IF(Summary_Services!Y47=0,0,Summary_TG!Q50/Summary_Services!Y47)</f>
        <v>0</v>
      </c>
      <c r="U47" s="517">
        <f>IF(Summary_Services!Z47=0,0,Summary_TG!R50/Summary_Services!Z47)</f>
        <v>0</v>
      </c>
      <c r="V47" s="517">
        <f>IF(Summary_Services!AA47=0,0,Summary_TG!S50/Summary_Services!AA47)</f>
        <v>0</v>
      </c>
      <c r="W47" s="517">
        <f>IF(Summary_Services!AB47=0,0,Summary_TG!T50/Summary_Services!AB47)</f>
        <v>0</v>
      </c>
      <c r="X47" s="517">
        <f>IF(Summary_Services!AC47=0,0,Summary_TG!U50/Summary_Services!AC47)</f>
        <v>0</v>
      </c>
      <c r="Y47" s="517">
        <f>IF(Summary_Services!AD47=0,0,Summary_TG!V50/Summary_Services!AD47)</f>
        <v>0</v>
      </c>
      <c r="Z47" s="517"/>
      <c r="AA47" s="517">
        <f>Summary_Services!R47</f>
        <v>0</v>
      </c>
      <c r="AB47" s="517">
        <f>Summary_Services!S47</f>
        <v>0</v>
      </c>
      <c r="AC47" s="517">
        <f>Summary_Services!T47</f>
        <v>0</v>
      </c>
      <c r="AD47" s="517">
        <f>Summary_Services!U47</f>
        <v>0</v>
      </c>
      <c r="AE47" s="517">
        <f>Summary_Services!V47</f>
        <v>0</v>
      </c>
      <c r="AF47" s="517">
        <f>Summary_Services!W47</f>
        <v>0</v>
      </c>
      <c r="AG47" s="517"/>
      <c r="AH47" s="517">
        <f t="shared" si="10"/>
        <v>0</v>
      </c>
      <c r="AI47" s="517">
        <f t="shared" si="11"/>
        <v>0</v>
      </c>
      <c r="AJ47" s="517">
        <f t="shared" si="12"/>
        <v>0</v>
      </c>
      <c r="AK47" s="517">
        <f t="shared" si="13"/>
        <v>0</v>
      </c>
      <c r="AL47" s="517">
        <f t="shared" si="14"/>
        <v>0</v>
      </c>
      <c r="AM47" s="517">
        <f t="shared" si="15"/>
        <v>0</v>
      </c>
      <c r="AN47" s="517"/>
      <c r="AO47" s="517">
        <f t="shared" si="16"/>
        <v>0</v>
      </c>
      <c r="AP47" s="517">
        <f t="shared" si="17"/>
        <v>0</v>
      </c>
      <c r="AQ47" s="517">
        <f t="shared" si="18"/>
        <v>0</v>
      </c>
      <c r="AR47" s="517">
        <f t="shared" si="19"/>
        <v>0</v>
      </c>
      <c r="AS47" s="517">
        <f t="shared" si="20"/>
        <v>0</v>
      </c>
      <c r="AT47" s="517">
        <f t="shared" si="21"/>
        <v>0</v>
      </c>
      <c r="AU47" s="517"/>
      <c r="AV47" s="517">
        <f t="shared" si="22"/>
        <v>0</v>
      </c>
      <c r="AW47" s="517">
        <f t="shared" si="23"/>
        <v>0</v>
      </c>
      <c r="AX47" s="517">
        <f t="shared" si="24"/>
        <v>0</v>
      </c>
      <c r="AY47" s="517">
        <f t="shared" si="25"/>
        <v>0</v>
      </c>
      <c r="AZ47" s="517">
        <f t="shared" si="26"/>
        <v>0</v>
      </c>
      <c r="BA47" s="517">
        <f t="shared" si="27"/>
        <v>0</v>
      </c>
      <c r="BB47" s="517"/>
      <c r="BC47" s="517" t="e">
        <f>+AH47/Demography!C$10</f>
        <v>#DIV/0!</v>
      </c>
      <c r="BD47" s="517" t="e">
        <f>+AI47/Demography!D$10</f>
        <v>#DIV/0!</v>
      </c>
      <c r="BE47" s="517" t="e">
        <f>+AJ47/Demography!E$10</f>
        <v>#DIV/0!</v>
      </c>
      <c r="BF47" s="517" t="e">
        <f>+AK47/Demography!F$10</f>
        <v>#DIV/0!</v>
      </c>
      <c r="BG47" s="517" t="e">
        <f>+AL47/Demography!G$10</f>
        <v>#DIV/0!</v>
      </c>
      <c r="BH47" s="517" t="e">
        <f>+AM47/Demography!H$10</f>
        <v>#DIV/0!</v>
      </c>
    </row>
    <row r="48" spans="1:60">
      <c r="A48" s="578">
        <v>43</v>
      </c>
      <c r="B48" s="4">
        <f>Summary_TG!B51</f>
        <v>0</v>
      </c>
      <c r="C48" s="4">
        <f>Summary_TG!C51</f>
        <v>0</v>
      </c>
      <c r="D48">
        <f>Summary_Services!E48</f>
        <v>0</v>
      </c>
      <c r="E48">
        <f>Summary_TG!G51</f>
        <v>0</v>
      </c>
      <c r="F48" s="517">
        <f t="shared" si="4"/>
        <v>0</v>
      </c>
      <c r="G48" s="517">
        <f t="shared" si="5"/>
        <v>0</v>
      </c>
      <c r="H48" s="517">
        <f t="shared" si="6"/>
        <v>0</v>
      </c>
      <c r="I48" s="517">
        <f t="shared" si="7"/>
        <v>0</v>
      </c>
      <c r="J48" s="517">
        <f t="shared" si="8"/>
        <v>0</v>
      </c>
      <c r="K48" s="517">
        <f t="shared" si="9"/>
        <v>0</v>
      </c>
      <c r="L48" s="517"/>
      <c r="M48" s="517">
        <f>IF($B48=0,0,(((VLOOKUP(Summary_Services!$F48,lookup_salaries,8,FALSE))*$E48)))</f>
        <v>0</v>
      </c>
      <c r="N48" s="517">
        <f>IF($B48=0,0,(((VLOOKUP(Summary_Services!$F48,lookup_salaries,8,FALSE))*$E48)))</f>
        <v>0</v>
      </c>
      <c r="O48" s="517">
        <f>IF($B48=0,0,(((VLOOKUP(Summary_Services!$F48,lookup_salaries,8,FALSE))*$E48)))</f>
        <v>0</v>
      </c>
      <c r="P48" s="517">
        <f>IF($B48=0,0,(((VLOOKUP(Summary_Services!$F48,lookup_salaries,8,FALSE))*$E48)))</f>
        <v>0</v>
      </c>
      <c r="Q48" s="517">
        <f>IF($B48=0,0,(((VLOOKUP(Summary_Services!$F48,lookup_salaries,8,FALSE))*$E48)))</f>
        <v>0</v>
      </c>
      <c r="R48" s="517">
        <f>IF($B48=0,0,(((VLOOKUP(Summary_Services!$F48,lookup_salaries,8,FALSE))*$E48)))</f>
        <v>0</v>
      </c>
      <c r="S48" s="517"/>
      <c r="T48" s="517">
        <f>IF(Summary_Services!Y48=0,0,Summary_TG!Q51/Summary_Services!Y48)</f>
        <v>0</v>
      </c>
      <c r="U48" s="517">
        <f>IF(Summary_Services!Z48=0,0,Summary_TG!R51/Summary_Services!Z48)</f>
        <v>0</v>
      </c>
      <c r="V48" s="517">
        <f>IF(Summary_Services!AA48=0,0,Summary_TG!S51/Summary_Services!AA48)</f>
        <v>0</v>
      </c>
      <c r="W48" s="517">
        <f>IF(Summary_Services!AB48=0,0,Summary_TG!T51/Summary_Services!AB48)</f>
        <v>0</v>
      </c>
      <c r="X48" s="517">
        <f>IF(Summary_Services!AC48=0,0,Summary_TG!U51/Summary_Services!AC48)</f>
        <v>0</v>
      </c>
      <c r="Y48" s="517">
        <f>IF(Summary_Services!AD48=0,0,Summary_TG!V51/Summary_Services!AD48)</f>
        <v>0</v>
      </c>
      <c r="Z48" s="517"/>
      <c r="AA48" s="517">
        <f>Summary_Services!R48</f>
        <v>0</v>
      </c>
      <c r="AB48" s="517">
        <f>Summary_Services!S48</f>
        <v>0</v>
      </c>
      <c r="AC48" s="517">
        <f>Summary_Services!T48</f>
        <v>0</v>
      </c>
      <c r="AD48" s="517">
        <f>Summary_Services!U48</f>
        <v>0</v>
      </c>
      <c r="AE48" s="517">
        <f>Summary_Services!V48</f>
        <v>0</v>
      </c>
      <c r="AF48" s="517">
        <f>Summary_Services!W48</f>
        <v>0</v>
      </c>
      <c r="AG48" s="517"/>
      <c r="AH48" s="517">
        <f t="shared" si="10"/>
        <v>0</v>
      </c>
      <c r="AI48" s="517">
        <f t="shared" si="11"/>
        <v>0</v>
      </c>
      <c r="AJ48" s="517">
        <f t="shared" si="12"/>
        <v>0</v>
      </c>
      <c r="AK48" s="517">
        <f t="shared" si="13"/>
        <v>0</v>
      </c>
      <c r="AL48" s="517">
        <f t="shared" si="14"/>
        <v>0</v>
      </c>
      <c r="AM48" s="517">
        <f t="shared" si="15"/>
        <v>0</v>
      </c>
      <c r="AN48" s="517"/>
      <c r="AO48" s="517">
        <f t="shared" si="16"/>
        <v>0</v>
      </c>
      <c r="AP48" s="517">
        <f t="shared" si="17"/>
        <v>0</v>
      </c>
      <c r="AQ48" s="517">
        <f t="shared" si="18"/>
        <v>0</v>
      </c>
      <c r="AR48" s="517">
        <f t="shared" si="19"/>
        <v>0</v>
      </c>
      <c r="AS48" s="517">
        <f t="shared" si="20"/>
        <v>0</v>
      </c>
      <c r="AT48" s="517">
        <f t="shared" si="21"/>
        <v>0</v>
      </c>
      <c r="AU48" s="517"/>
      <c r="AV48" s="517">
        <f t="shared" si="22"/>
        <v>0</v>
      </c>
      <c r="AW48" s="517">
        <f t="shared" si="23"/>
        <v>0</v>
      </c>
      <c r="AX48" s="517">
        <f t="shared" si="24"/>
        <v>0</v>
      </c>
      <c r="AY48" s="517">
        <f t="shared" si="25"/>
        <v>0</v>
      </c>
      <c r="AZ48" s="517">
        <f t="shared" si="26"/>
        <v>0</v>
      </c>
      <c r="BA48" s="517">
        <f t="shared" si="27"/>
        <v>0</v>
      </c>
      <c r="BB48" s="517"/>
      <c r="BC48" s="517" t="e">
        <f>+AH48/Demography!C$10</f>
        <v>#DIV/0!</v>
      </c>
      <c r="BD48" s="517" t="e">
        <f>+AI48/Demography!D$10</f>
        <v>#DIV/0!</v>
      </c>
      <c r="BE48" s="517" t="e">
        <f>+AJ48/Demography!E$10</f>
        <v>#DIV/0!</v>
      </c>
      <c r="BF48" s="517" t="e">
        <f>+AK48/Demography!F$10</f>
        <v>#DIV/0!</v>
      </c>
      <c r="BG48" s="517" t="e">
        <f>+AL48/Demography!G$10</f>
        <v>#DIV/0!</v>
      </c>
      <c r="BH48" s="517" t="e">
        <f>+AM48/Demography!H$10</f>
        <v>#DIV/0!</v>
      </c>
    </row>
    <row r="49" spans="1:60">
      <c r="A49" s="578">
        <v>44</v>
      </c>
      <c r="B49" s="4">
        <f>Summary_TG!B52</f>
        <v>0</v>
      </c>
      <c r="C49" s="4">
        <f>Summary_TG!C52</f>
        <v>0</v>
      </c>
      <c r="D49">
        <f>Summary_Services!E49</f>
        <v>0</v>
      </c>
      <c r="E49">
        <f>Summary_TG!G52</f>
        <v>0</v>
      </c>
      <c r="F49" s="517">
        <f t="shared" si="4"/>
        <v>0</v>
      </c>
      <c r="G49" s="517">
        <f t="shared" si="5"/>
        <v>0</v>
      </c>
      <c r="H49" s="517">
        <f t="shared" si="6"/>
        <v>0</v>
      </c>
      <c r="I49" s="517">
        <f t="shared" si="7"/>
        <v>0</v>
      </c>
      <c r="J49" s="517">
        <f t="shared" si="8"/>
        <v>0</v>
      </c>
      <c r="K49" s="517">
        <f t="shared" si="9"/>
        <v>0</v>
      </c>
      <c r="L49" s="517"/>
      <c r="M49" s="517">
        <f>IF($B49=0,0,(((VLOOKUP(Summary_Services!$F49,lookup_salaries,8,FALSE))*$E49)))</f>
        <v>0</v>
      </c>
      <c r="N49" s="517">
        <f>IF($B49=0,0,(((VLOOKUP(Summary_Services!$F49,lookup_salaries,8,FALSE))*$E49)))</f>
        <v>0</v>
      </c>
      <c r="O49" s="517">
        <f>IF($B49=0,0,(((VLOOKUP(Summary_Services!$F49,lookup_salaries,8,FALSE))*$E49)))</f>
        <v>0</v>
      </c>
      <c r="P49" s="517">
        <f>IF($B49=0,0,(((VLOOKUP(Summary_Services!$F49,lookup_salaries,8,FALSE))*$E49)))</f>
        <v>0</v>
      </c>
      <c r="Q49" s="517">
        <f>IF($B49=0,0,(((VLOOKUP(Summary_Services!$F49,lookup_salaries,8,FALSE))*$E49)))</f>
        <v>0</v>
      </c>
      <c r="R49" s="517">
        <f>IF($B49=0,0,(((VLOOKUP(Summary_Services!$F49,lookup_salaries,8,FALSE))*$E49)))</f>
        <v>0</v>
      </c>
      <c r="S49" s="517"/>
      <c r="T49" s="517">
        <f>IF(Summary_Services!Y49=0,0,Summary_TG!Q52/Summary_Services!Y49)</f>
        <v>0</v>
      </c>
      <c r="U49" s="517">
        <f>IF(Summary_Services!Z49=0,0,Summary_TG!R52/Summary_Services!Z49)</f>
        <v>0</v>
      </c>
      <c r="V49" s="517">
        <f>IF(Summary_Services!AA49=0,0,Summary_TG!S52/Summary_Services!AA49)</f>
        <v>0</v>
      </c>
      <c r="W49" s="517">
        <f>IF(Summary_Services!AB49=0,0,Summary_TG!T52/Summary_Services!AB49)</f>
        <v>0</v>
      </c>
      <c r="X49" s="517">
        <f>IF(Summary_Services!AC49=0,0,Summary_TG!U52/Summary_Services!AC49)</f>
        <v>0</v>
      </c>
      <c r="Y49" s="517">
        <f>IF(Summary_Services!AD49=0,0,Summary_TG!V52/Summary_Services!AD49)</f>
        <v>0</v>
      </c>
      <c r="Z49" s="517"/>
      <c r="AA49" s="517">
        <f>Summary_Services!R49</f>
        <v>0</v>
      </c>
      <c r="AB49" s="517">
        <f>Summary_Services!S49</f>
        <v>0</v>
      </c>
      <c r="AC49" s="517">
        <f>Summary_Services!T49</f>
        <v>0</v>
      </c>
      <c r="AD49" s="517">
        <f>Summary_Services!U49</f>
        <v>0</v>
      </c>
      <c r="AE49" s="517">
        <f>Summary_Services!V49</f>
        <v>0</v>
      </c>
      <c r="AF49" s="517">
        <f>Summary_Services!W49</f>
        <v>0</v>
      </c>
      <c r="AG49" s="517"/>
      <c r="AH49" s="517">
        <f t="shared" si="10"/>
        <v>0</v>
      </c>
      <c r="AI49" s="517">
        <f t="shared" si="11"/>
        <v>0</v>
      </c>
      <c r="AJ49" s="517">
        <f t="shared" si="12"/>
        <v>0</v>
      </c>
      <c r="AK49" s="517">
        <f t="shared" si="13"/>
        <v>0</v>
      </c>
      <c r="AL49" s="517">
        <f t="shared" si="14"/>
        <v>0</v>
      </c>
      <c r="AM49" s="517">
        <f t="shared" si="15"/>
        <v>0</v>
      </c>
      <c r="AN49" s="517"/>
      <c r="AO49" s="517">
        <f t="shared" si="16"/>
        <v>0</v>
      </c>
      <c r="AP49" s="517">
        <f t="shared" si="17"/>
        <v>0</v>
      </c>
      <c r="AQ49" s="517">
        <f t="shared" si="18"/>
        <v>0</v>
      </c>
      <c r="AR49" s="517">
        <f t="shared" si="19"/>
        <v>0</v>
      </c>
      <c r="AS49" s="517">
        <f t="shared" si="20"/>
        <v>0</v>
      </c>
      <c r="AT49" s="517">
        <f t="shared" si="21"/>
        <v>0</v>
      </c>
      <c r="AU49" s="517"/>
      <c r="AV49" s="517">
        <f t="shared" si="22"/>
        <v>0</v>
      </c>
      <c r="AW49" s="517">
        <f t="shared" si="23"/>
        <v>0</v>
      </c>
      <c r="AX49" s="517">
        <f t="shared" si="24"/>
        <v>0</v>
      </c>
      <c r="AY49" s="517">
        <f t="shared" si="25"/>
        <v>0</v>
      </c>
      <c r="AZ49" s="517">
        <f t="shared" si="26"/>
        <v>0</v>
      </c>
      <c r="BA49" s="517">
        <f t="shared" si="27"/>
        <v>0</v>
      </c>
      <c r="BB49" s="517"/>
      <c r="BC49" s="517" t="e">
        <f>+AH49/Demography!C$10</f>
        <v>#DIV/0!</v>
      </c>
      <c r="BD49" s="517" t="e">
        <f>+AI49/Demography!D$10</f>
        <v>#DIV/0!</v>
      </c>
      <c r="BE49" s="517" t="e">
        <f>+AJ49/Demography!E$10</f>
        <v>#DIV/0!</v>
      </c>
      <c r="BF49" s="517" t="e">
        <f>+AK49/Demography!F$10</f>
        <v>#DIV/0!</v>
      </c>
      <c r="BG49" s="517" t="e">
        <f>+AL49/Demography!G$10</f>
        <v>#DIV/0!</v>
      </c>
      <c r="BH49" s="517" t="e">
        <f>+AM49/Demography!H$10</f>
        <v>#DIV/0!</v>
      </c>
    </row>
    <row r="50" spans="1:60">
      <c r="A50" s="578">
        <v>45</v>
      </c>
      <c r="B50" s="4">
        <f>Summary_TG!B53</f>
        <v>0</v>
      </c>
      <c r="C50" s="4">
        <f>Summary_TG!C53</f>
        <v>0</v>
      </c>
      <c r="D50">
        <f>Summary_Services!E50</f>
        <v>0</v>
      </c>
      <c r="E50">
        <f>Summary_TG!G53</f>
        <v>0</v>
      </c>
      <c r="F50" s="517">
        <f t="shared" si="4"/>
        <v>0</v>
      </c>
      <c r="G50" s="517">
        <f t="shared" si="5"/>
        <v>0</v>
      </c>
      <c r="H50" s="517">
        <f t="shared" si="6"/>
        <v>0</v>
      </c>
      <c r="I50" s="517">
        <f t="shared" si="7"/>
        <v>0</v>
      </c>
      <c r="J50" s="517">
        <f t="shared" si="8"/>
        <v>0</v>
      </c>
      <c r="K50" s="517">
        <f t="shared" si="9"/>
        <v>0</v>
      </c>
      <c r="L50" s="517"/>
      <c r="M50" s="517">
        <f>IF($B50=0,0,(((VLOOKUP(Summary_Services!$F50,lookup_salaries,8,FALSE))*$E50)))</f>
        <v>0</v>
      </c>
      <c r="N50" s="517">
        <f>IF($B50=0,0,(((VLOOKUP(Summary_Services!$F50,lookup_salaries,8,FALSE))*$E50)))</f>
        <v>0</v>
      </c>
      <c r="O50" s="517">
        <f>IF($B50=0,0,(((VLOOKUP(Summary_Services!$F50,lookup_salaries,8,FALSE))*$E50)))</f>
        <v>0</v>
      </c>
      <c r="P50" s="517">
        <f>IF($B50=0,0,(((VLOOKUP(Summary_Services!$F50,lookup_salaries,8,FALSE))*$E50)))</f>
        <v>0</v>
      </c>
      <c r="Q50" s="517">
        <f>IF($B50=0,0,(((VLOOKUP(Summary_Services!$F50,lookup_salaries,8,FALSE))*$E50)))</f>
        <v>0</v>
      </c>
      <c r="R50" s="517">
        <f>IF($B50=0,0,(((VLOOKUP(Summary_Services!$F50,lookup_salaries,8,FALSE))*$E50)))</f>
        <v>0</v>
      </c>
      <c r="S50" s="517"/>
      <c r="T50" s="517">
        <f>IF(Summary_Services!Y50=0,0,Summary_TG!Q53/Summary_Services!Y50)</f>
        <v>0</v>
      </c>
      <c r="U50" s="517">
        <f>IF(Summary_Services!Z50=0,0,Summary_TG!R53/Summary_Services!Z50)</f>
        <v>0</v>
      </c>
      <c r="V50" s="517">
        <f>IF(Summary_Services!AA50=0,0,Summary_TG!S53/Summary_Services!AA50)</f>
        <v>0</v>
      </c>
      <c r="W50" s="517">
        <f>IF(Summary_Services!AB50=0,0,Summary_TG!T53/Summary_Services!AB50)</f>
        <v>0</v>
      </c>
      <c r="X50" s="517">
        <f>IF(Summary_Services!AC50=0,0,Summary_TG!U53/Summary_Services!AC50)</f>
        <v>0</v>
      </c>
      <c r="Y50" s="517">
        <f>IF(Summary_Services!AD50=0,0,Summary_TG!V53/Summary_Services!AD50)</f>
        <v>0</v>
      </c>
      <c r="Z50" s="517"/>
      <c r="AA50" s="517">
        <f>Summary_Services!R50</f>
        <v>0</v>
      </c>
      <c r="AB50" s="517">
        <f>Summary_Services!S50</f>
        <v>0</v>
      </c>
      <c r="AC50" s="517">
        <f>Summary_Services!T50</f>
        <v>0</v>
      </c>
      <c r="AD50" s="517">
        <f>Summary_Services!U50</f>
        <v>0</v>
      </c>
      <c r="AE50" s="517">
        <f>Summary_Services!V50</f>
        <v>0</v>
      </c>
      <c r="AF50" s="517">
        <f>Summary_Services!W50</f>
        <v>0</v>
      </c>
      <c r="AG50" s="517"/>
      <c r="AH50" s="517">
        <f t="shared" si="10"/>
        <v>0</v>
      </c>
      <c r="AI50" s="517">
        <f t="shared" si="11"/>
        <v>0</v>
      </c>
      <c r="AJ50" s="517">
        <f t="shared" si="12"/>
        <v>0</v>
      </c>
      <c r="AK50" s="517">
        <f t="shared" si="13"/>
        <v>0</v>
      </c>
      <c r="AL50" s="517">
        <f t="shared" si="14"/>
        <v>0</v>
      </c>
      <c r="AM50" s="517">
        <f t="shared" si="15"/>
        <v>0</v>
      </c>
      <c r="AN50" s="517"/>
      <c r="AO50" s="517">
        <f t="shared" si="16"/>
        <v>0</v>
      </c>
      <c r="AP50" s="517">
        <f t="shared" si="17"/>
        <v>0</v>
      </c>
      <c r="AQ50" s="517">
        <f t="shared" si="18"/>
        <v>0</v>
      </c>
      <c r="AR50" s="517">
        <f t="shared" si="19"/>
        <v>0</v>
      </c>
      <c r="AS50" s="517">
        <f t="shared" si="20"/>
        <v>0</v>
      </c>
      <c r="AT50" s="517">
        <f t="shared" si="21"/>
        <v>0</v>
      </c>
      <c r="AU50" s="517"/>
      <c r="AV50" s="517">
        <f t="shared" si="22"/>
        <v>0</v>
      </c>
      <c r="AW50" s="517">
        <f t="shared" si="23"/>
        <v>0</v>
      </c>
      <c r="AX50" s="517">
        <f t="shared" si="24"/>
        <v>0</v>
      </c>
      <c r="AY50" s="517">
        <f t="shared" si="25"/>
        <v>0</v>
      </c>
      <c r="AZ50" s="517">
        <f t="shared" si="26"/>
        <v>0</v>
      </c>
      <c r="BA50" s="517">
        <f t="shared" si="27"/>
        <v>0</v>
      </c>
      <c r="BB50" s="517"/>
      <c r="BC50" s="517" t="e">
        <f>+AH50/Demography!C$10</f>
        <v>#DIV/0!</v>
      </c>
      <c r="BD50" s="517" t="e">
        <f>+AI50/Demography!D$10</f>
        <v>#DIV/0!</v>
      </c>
      <c r="BE50" s="517" t="e">
        <f>+AJ50/Demography!E$10</f>
        <v>#DIV/0!</v>
      </c>
      <c r="BF50" s="517" t="e">
        <f>+AK50/Demography!F$10</f>
        <v>#DIV/0!</v>
      </c>
      <c r="BG50" s="517" t="e">
        <f>+AL50/Demography!G$10</f>
        <v>#DIV/0!</v>
      </c>
      <c r="BH50" s="517" t="e">
        <f>+AM50/Demography!H$10</f>
        <v>#DIV/0!</v>
      </c>
    </row>
    <row r="51" spans="1:60">
      <c r="A51" s="578">
        <v>46</v>
      </c>
      <c r="B51" s="4">
        <f>Summary_TG!B54</f>
        <v>0</v>
      </c>
      <c r="C51" s="4">
        <f>Summary_TG!C54</f>
        <v>0</v>
      </c>
      <c r="D51">
        <f>Summary_Services!E51</f>
        <v>0</v>
      </c>
      <c r="E51">
        <f>Summary_TG!G54</f>
        <v>0</v>
      </c>
      <c r="F51" s="517">
        <f t="shared" si="4"/>
        <v>0</v>
      </c>
      <c r="G51" s="517">
        <f t="shared" si="5"/>
        <v>0</v>
      </c>
      <c r="H51" s="517">
        <f t="shared" si="6"/>
        <v>0</v>
      </c>
      <c r="I51" s="517">
        <f t="shared" si="7"/>
        <v>0</v>
      </c>
      <c r="J51" s="517">
        <f t="shared" si="8"/>
        <v>0</v>
      </c>
      <c r="K51" s="517">
        <f t="shared" si="9"/>
        <v>0</v>
      </c>
      <c r="L51" s="517"/>
      <c r="M51" s="517">
        <f>IF($B51=0,0,(((VLOOKUP(Summary_Services!$F51,lookup_salaries,8,FALSE))*$E51)))</f>
        <v>0</v>
      </c>
      <c r="N51" s="517">
        <f>IF($B51=0,0,(((VLOOKUP(Summary_Services!$F51,lookup_salaries,8,FALSE))*$E51)))</f>
        <v>0</v>
      </c>
      <c r="O51" s="517">
        <f>IF($B51=0,0,(((VLOOKUP(Summary_Services!$F51,lookup_salaries,8,FALSE))*$E51)))</f>
        <v>0</v>
      </c>
      <c r="P51" s="517">
        <f>IF($B51=0,0,(((VLOOKUP(Summary_Services!$F51,lookup_salaries,8,FALSE))*$E51)))</f>
        <v>0</v>
      </c>
      <c r="Q51" s="517">
        <f>IF($B51=0,0,(((VLOOKUP(Summary_Services!$F51,lookup_salaries,8,FALSE))*$E51)))</f>
        <v>0</v>
      </c>
      <c r="R51" s="517">
        <f>IF($B51=0,0,(((VLOOKUP(Summary_Services!$F51,lookup_salaries,8,FALSE))*$E51)))</f>
        <v>0</v>
      </c>
      <c r="S51" s="517"/>
      <c r="T51" s="517">
        <f>IF(Summary_Services!Y51=0,0,Summary_TG!Q54/Summary_Services!Y51)</f>
        <v>0</v>
      </c>
      <c r="U51" s="517">
        <f>IF(Summary_Services!Z51=0,0,Summary_TG!R54/Summary_Services!Z51)</f>
        <v>0</v>
      </c>
      <c r="V51" s="517">
        <f>IF(Summary_Services!AA51=0,0,Summary_TG!S54/Summary_Services!AA51)</f>
        <v>0</v>
      </c>
      <c r="W51" s="517">
        <f>IF(Summary_Services!AB51=0,0,Summary_TG!T54/Summary_Services!AB51)</f>
        <v>0</v>
      </c>
      <c r="X51" s="517">
        <f>IF(Summary_Services!AC51=0,0,Summary_TG!U54/Summary_Services!AC51)</f>
        <v>0</v>
      </c>
      <c r="Y51" s="517">
        <f>IF(Summary_Services!AD51=0,0,Summary_TG!V54/Summary_Services!AD51)</f>
        <v>0</v>
      </c>
      <c r="Z51" s="517"/>
      <c r="AA51" s="517">
        <f>Summary_Services!R51</f>
        <v>0</v>
      </c>
      <c r="AB51" s="517">
        <f>Summary_Services!S51</f>
        <v>0</v>
      </c>
      <c r="AC51" s="517">
        <f>Summary_Services!T51</f>
        <v>0</v>
      </c>
      <c r="AD51" s="517">
        <f>Summary_Services!U51</f>
        <v>0</v>
      </c>
      <c r="AE51" s="517">
        <f>Summary_Services!V51</f>
        <v>0</v>
      </c>
      <c r="AF51" s="517">
        <f>Summary_Services!W51</f>
        <v>0</v>
      </c>
      <c r="AG51" s="517"/>
      <c r="AH51" s="517">
        <f t="shared" si="10"/>
        <v>0</v>
      </c>
      <c r="AI51" s="517">
        <f t="shared" si="11"/>
        <v>0</v>
      </c>
      <c r="AJ51" s="517">
        <f t="shared" si="12"/>
        <v>0</v>
      </c>
      <c r="AK51" s="517">
        <f t="shared" si="13"/>
        <v>0</v>
      </c>
      <c r="AL51" s="517">
        <f t="shared" si="14"/>
        <v>0</v>
      </c>
      <c r="AM51" s="517">
        <f t="shared" si="15"/>
        <v>0</v>
      </c>
      <c r="AN51" s="517"/>
      <c r="AO51" s="517">
        <f t="shared" si="16"/>
        <v>0</v>
      </c>
      <c r="AP51" s="517">
        <f t="shared" si="17"/>
        <v>0</v>
      </c>
      <c r="AQ51" s="517">
        <f t="shared" si="18"/>
        <v>0</v>
      </c>
      <c r="AR51" s="517">
        <f t="shared" si="19"/>
        <v>0</v>
      </c>
      <c r="AS51" s="517">
        <f t="shared" si="20"/>
        <v>0</v>
      </c>
      <c r="AT51" s="517">
        <f t="shared" si="21"/>
        <v>0</v>
      </c>
      <c r="AU51" s="517"/>
      <c r="AV51" s="517">
        <f t="shared" si="22"/>
        <v>0</v>
      </c>
      <c r="AW51" s="517">
        <f t="shared" si="23"/>
        <v>0</v>
      </c>
      <c r="AX51" s="517">
        <f t="shared" si="24"/>
        <v>0</v>
      </c>
      <c r="AY51" s="517">
        <f t="shared" si="25"/>
        <v>0</v>
      </c>
      <c r="AZ51" s="517">
        <f t="shared" si="26"/>
        <v>0</v>
      </c>
      <c r="BA51" s="517">
        <f t="shared" si="27"/>
        <v>0</v>
      </c>
      <c r="BB51" s="517"/>
      <c r="BC51" s="517" t="e">
        <f>+AH51/Demography!C$10</f>
        <v>#DIV/0!</v>
      </c>
      <c r="BD51" s="517" t="e">
        <f>+AI51/Demography!D$10</f>
        <v>#DIV/0!</v>
      </c>
      <c r="BE51" s="517" t="e">
        <f>+AJ51/Demography!E$10</f>
        <v>#DIV/0!</v>
      </c>
      <c r="BF51" s="517" t="e">
        <f>+AK51/Demography!F$10</f>
        <v>#DIV/0!</v>
      </c>
      <c r="BG51" s="517" t="e">
        <f>+AL51/Demography!G$10</f>
        <v>#DIV/0!</v>
      </c>
      <c r="BH51" s="517" t="e">
        <f>+AM51/Demography!H$10</f>
        <v>#DIV/0!</v>
      </c>
    </row>
    <row r="52" spans="1:60">
      <c r="A52" s="578">
        <v>47</v>
      </c>
      <c r="B52" s="4">
        <f>Summary_TG!B55</f>
        <v>0</v>
      </c>
      <c r="C52" s="4">
        <f>Summary_TG!C55</f>
        <v>0</v>
      </c>
      <c r="D52">
        <f>Summary_Services!E52</f>
        <v>0</v>
      </c>
      <c r="E52">
        <f>Summary_TG!G55</f>
        <v>0</v>
      </c>
      <c r="F52" s="517">
        <f t="shared" si="4"/>
        <v>0</v>
      </c>
      <c r="G52" s="517">
        <f t="shared" si="5"/>
        <v>0</v>
      </c>
      <c r="H52" s="517">
        <f t="shared" si="6"/>
        <v>0</v>
      </c>
      <c r="I52" s="517">
        <f t="shared" si="7"/>
        <v>0</v>
      </c>
      <c r="J52" s="517">
        <f t="shared" si="8"/>
        <v>0</v>
      </c>
      <c r="K52" s="517">
        <f t="shared" si="9"/>
        <v>0</v>
      </c>
      <c r="L52" s="517"/>
      <c r="M52" s="517">
        <f>IF($B52=0,0,(((VLOOKUP(Summary_Services!$F52,lookup_salaries,8,FALSE))*$E52)))</f>
        <v>0</v>
      </c>
      <c r="N52" s="517">
        <f>IF($B52=0,0,(((VLOOKUP(Summary_Services!$F52,lookup_salaries,8,FALSE))*$E52)))</f>
        <v>0</v>
      </c>
      <c r="O52" s="517">
        <f>IF($B52=0,0,(((VLOOKUP(Summary_Services!$F52,lookup_salaries,8,FALSE))*$E52)))</f>
        <v>0</v>
      </c>
      <c r="P52" s="517">
        <f>IF($B52=0,0,(((VLOOKUP(Summary_Services!$F52,lookup_salaries,8,FALSE))*$E52)))</f>
        <v>0</v>
      </c>
      <c r="Q52" s="517">
        <f>IF($B52=0,0,(((VLOOKUP(Summary_Services!$F52,lookup_salaries,8,FALSE))*$E52)))</f>
        <v>0</v>
      </c>
      <c r="R52" s="517">
        <f>IF($B52=0,0,(((VLOOKUP(Summary_Services!$F52,lookup_salaries,8,FALSE))*$E52)))</f>
        <v>0</v>
      </c>
      <c r="S52" s="517"/>
      <c r="T52" s="517">
        <f>IF(Summary_Services!Y52=0,0,Summary_TG!Q55/Summary_Services!Y52)</f>
        <v>0</v>
      </c>
      <c r="U52" s="517">
        <f>IF(Summary_Services!Z52=0,0,Summary_TG!R55/Summary_Services!Z52)</f>
        <v>0</v>
      </c>
      <c r="V52" s="517">
        <f>IF(Summary_Services!AA52=0,0,Summary_TG!S55/Summary_Services!AA52)</f>
        <v>0</v>
      </c>
      <c r="W52" s="517">
        <f>IF(Summary_Services!AB52=0,0,Summary_TG!T55/Summary_Services!AB52)</f>
        <v>0</v>
      </c>
      <c r="X52" s="517">
        <f>IF(Summary_Services!AC52=0,0,Summary_TG!U55/Summary_Services!AC52)</f>
        <v>0</v>
      </c>
      <c r="Y52" s="517">
        <f>IF(Summary_Services!AD52=0,0,Summary_TG!V55/Summary_Services!AD52)</f>
        <v>0</v>
      </c>
      <c r="Z52" s="517"/>
      <c r="AA52" s="517">
        <f>Summary_Services!R52</f>
        <v>0</v>
      </c>
      <c r="AB52" s="517">
        <f>Summary_Services!S52</f>
        <v>0</v>
      </c>
      <c r="AC52" s="517">
        <f>Summary_Services!T52</f>
        <v>0</v>
      </c>
      <c r="AD52" s="517">
        <f>Summary_Services!U52</f>
        <v>0</v>
      </c>
      <c r="AE52" s="517">
        <f>Summary_Services!V52</f>
        <v>0</v>
      </c>
      <c r="AF52" s="517">
        <f>Summary_Services!W52</f>
        <v>0</v>
      </c>
      <c r="AG52" s="517"/>
      <c r="AH52" s="517">
        <f t="shared" si="10"/>
        <v>0</v>
      </c>
      <c r="AI52" s="517">
        <f t="shared" si="11"/>
        <v>0</v>
      </c>
      <c r="AJ52" s="517">
        <f t="shared" si="12"/>
        <v>0</v>
      </c>
      <c r="AK52" s="517">
        <f t="shared" si="13"/>
        <v>0</v>
      </c>
      <c r="AL52" s="517">
        <f t="shared" si="14"/>
        <v>0</v>
      </c>
      <c r="AM52" s="517">
        <f t="shared" si="15"/>
        <v>0</v>
      </c>
      <c r="AN52" s="517"/>
      <c r="AO52" s="517">
        <f t="shared" si="16"/>
        <v>0</v>
      </c>
      <c r="AP52" s="517">
        <f t="shared" si="17"/>
        <v>0</v>
      </c>
      <c r="AQ52" s="517">
        <f t="shared" si="18"/>
        <v>0</v>
      </c>
      <c r="AR52" s="517">
        <f t="shared" si="19"/>
        <v>0</v>
      </c>
      <c r="AS52" s="517">
        <f t="shared" si="20"/>
        <v>0</v>
      </c>
      <c r="AT52" s="517">
        <f t="shared" si="21"/>
        <v>0</v>
      </c>
      <c r="AU52" s="517"/>
      <c r="AV52" s="517">
        <f t="shared" si="22"/>
        <v>0</v>
      </c>
      <c r="AW52" s="517">
        <f t="shared" si="23"/>
        <v>0</v>
      </c>
      <c r="AX52" s="517">
        <f t="shared" si="24"/>
        <v>0</v>
      </c>
      <c r="AY52" s="517">
        <f t="shared" si="25"/>
        <v>0</v>
      </c>
      <c r="AZ52" s="517">
        <f t="shared" si="26"/>
        <v>0</v>
      </c>
      <c r="BA52" s="517">
        <f t="shared" si="27"/>
        <v>0</v>
      </c>
      <c r="BB52" s="517"/>
      <c r="BC52" s="517" t="e">
        <f>+AH52/Demography!C$10</f>
        <v>#DIV/0!</v>
      </c>
      <c r="BD52" s="517" t="e">
        <f>+AI52/Demography!D$10</f>
        <v>#DIV/0!</v>
      </c>
      <c r="BE52" s="517" t="e">
        <f>+AJ52/Demography!E$10</f>
        <v>#DIV/0!</v>
      </c>
      <c r="BF52" s="517" t="e">
        <f>+AK52/Demography!F$10</f>
        <v>#DIV/0!</v>
      </c>
      <c r="BG52" s="517" t="e">
        <f>+AL52/Demography!G$10</f>
        <v>#DIV/0!</v>
      </c>
      <c r="BH52" s="517" t="e">
        <f>+AM52/Demography!H$10</f>
        <v>#DIV/0!</v>
      </c>
    </row>
    <row r="53" spans="1:60">
      <c r="A53" s="578">
        <v>48</v>
      </c>
      <c r="B53" s="4">
        <f>Summary_TG!B56</f>
        <v>0</v>
      </c>
      <c r="C53" s="4">
        <f>Summary_TG!C56</f>
        <v>0</v>
      </c>
      <c r="D53">
        <f>Summary_Services!E53</f>
        <v>0</v>
      </c>
      <c r="E53">
        <f>Summary_TG!G56</f>
        <v>0</v>
      </c>
      <c r="F53" s="517">
        <f t="shared" si="4"/>
        <v>0</v>
      </c>
      <c r="G53" s="517">
        <f t="shared" si="5"/>
        <v>0</v>
      </c>
      <c r="H53" s="517">
        <f t="shared" si="6"/>
        <v>0</v>
      </c>
      <c r="I53" s="517">
        <f t="shared" si="7"/>
        <v>0</v>
      </c>
      <c r="J53" s="517">
        <f t="shared" si="8"/>
        <v>0</v>
      </c>
      <c r="K53" s="517">
        <f t="shared" si="9"/>
        <v>0</v>
      </c>
      <c r="L53" s="517"/>
      <c r="M53" s="517">
        <f>IF($B53=0,0,(((VLOOKUP(Summary_Services!$F53,lookup_salaries,8,FALSE))*$E53)))</f>
        <v>0</v>
      </c>
      <c r="N53" s="517">
        <f>IF($B53=0,0,(((VLOOKUP(Summary_Services!$F53,lookup_salaries,8,FALSE))*$E53)))</f>
        <v>0</v>
      </c>
      <c r="O53" s="517">
        <f>IF($B53=0,0,(((VLOOKUP(Summary_Services!$F53,lookup_salaries,8,FALSE))*$E53)))</f>
        <v>0</v>
      </c>
      <c r="P53" s="517">
        <f>IF($B53=0,0,(((VLOOKUP(Summary_Services!$F53,lookup_salaries,8,FALSE))*$E53)))</f>
        <v>0</v>
      </c>
      <c r="Q53" s="517">
        <f>IF($B53=0,0,(((VLOOKUP(Summary_Services!$F53,lookup_salaries,8,FALSE))*$E53)))</f>
        <v>0</v>
      </c>
      <c r="R53" s="517">
        <f>IF($B53=0,0,(((VLOOKUP(Summary_Services!$F53,lookup_salaries,8,FALSE))*$E53)))</f>
        <v>0</v>
      </c>
      <c r="S53" s="517"/>
      <c r="T53" s="517">
        <f>IF(Summary_Services!Y53=0,0,Summary_TG!Q56/Summary_Services!Y53)</f>
        <v>0</v>
      </c>
      <c r="U53" s="517">
        <f>IF(Summary_Services!Z53=0,0,Summary_TG!R56/Summary_Services!Z53)</f>
        <v>0</v>
      </c>
      <c r="V53" s="517">
        <f>IF(Summary_Services!AA53=0,0,Summary_TG!S56/Summary_Services!AA53)</f>
        <v>0</v>
      </c>
      <c r="W53" s="517">
        <f>IF(Summary_Services!AB53=0,0,Summary_TG!T56/Summary_Services!AB53)</f>
        <v>0</v>
      </c>
      <c r="X53" s="517">
        <f>IF(Summary_Services!AC53=0,0,Summary_TG!U56/Summary_Services!AC53)</f>
        <v>0</v>
      </c>
      <c r="Y53" s="517">
        <f>IF(Summary_Services!AD53=0,0,Summary_TG!V56/Summary_Services!AD53)</f>
        <v>0</v>
      </c>
      <c r="Z53" s="517"/>
      <c r="AA53" s="517">
        <f>Summary_Services!R53</f>
        <v>0</v>
      </c>
      <c r="AB53" s="517">
        <f>Summary_Services!S53</f>
        <v>0</v>
      </c>
      <c r="AC53" s="517">
        <f>Summary_Services!T53</f>
        <v>0</v>
      </c>
      <c r="AD53" s="517">
        <f>Summary_Services!U53</f>
        <v>0</v>
      </c>
      <c r="AE53" s="517">
        <f>Summary_Services!V53</f>
        <v>0</v>
      </c>
      <c r="AF53" s="517">
        <f>Summary_Services!W53</f>
        <v>0</v>
      </c>
      <c r="AG53" s="517"/>
      <c r="AH53" s="517">
        <f t="shared" si="10"/>
        <v>0</v>
      </c>
      <c r="AI53" s="517">
        <f t="shared" si="11"/>
        <v>0</v>
      </c>
      <c r="AJ53" s="517">
        <f t="shared" si="12"/>
        <v>0</v>
      </c>
      <c r="AK53" s="517">
        <f t="shared" si="13"/>
        <v>0</v>
      </c>
      <c r="AL53" s="517">
        <f t="shared" si="14"/>
        <v>0</v>
      </c>
      <c r="AM53" s="517">
        <f t="shared" si="15"/>
        <v>0</v>
      </c>
      <c r="AN53" s="517"/>
      <c r="AO53" s="517">
        <f t="shared" si="16"/>
        <v>0</v>
      </c>
      <c r="AP53" s="517">
        <f t="shared" si="17"/>
        <v>0</v>
      </c>
      <c r="AQ53" s="517">
        <f t="shared" si="18"/>
        <v>0</v>
      </c>
      <c r="AR53" s="517">
        <f t="shared" si="19"/>
        <v>0</v>
      </c>
      <c r="AS53" s="517">
        <f t="shared" si="20"/>
        <v>0</v>
      </c>
      <c r="AT53" s="517">
        <f t="shared" si="21"/>
        <v>0</v>
      </c>
      <c r="AU53" s="517"/>
      <c r="AV53" s="517">
        <f t="shared" si="22"/>
        <v>0</v>
      </c>
      <c r="AW53" s="517">
        <f t="shared" si="23"/>
        <v>0</v>
      </c>
      <c r="AX53" s="517">
        <f t="shared" si="24"/>
        <v>0</v>
      </c>
      <c r="AY53" s="517">
        <f t="shared" si="25"/>
        <v>0</v>
      </c>
      <c r="AZ53" s="517">
        <f t="shared" si="26"/>
        <v>0</v>
      </c>
      <c r="BA53" s="517">
        <f t="shared" si="27"/>
        <v>0</v>
      </c>
      <c r="BB53" s="517"/>
      <c r="BC53" s="517" t="e">
        <f>+AH53/Demography!C$10</f>
        <v>#DIV/0!</v>
      </c>
      <c r="BD53" s="517" t="e">
        <f>+AI53/Demography!D$10</f>
        <v>#DIV/0!</v>
      </c>
      <c r="BE53" s="517" t="e">
        <f>+AJ53/Demography!E$10</f>
        <v>#DIV/0!</v>
      </c>
      <c r="BF53" s="517" t="e">
        <f>+AK53/Demography!F$10</f>
        <v>#DIV/0!</v>
      </c>
      <c r="BG53" s="517" t="e">
        <f>+AL53/Demography!G$10</f>
        <v>#DIV/0!</v>
      </c>
      <c r="BH53" s="517" t="e">
        <f>+AM53/Demography!H$10</f>
        <v>#DIV/0!</v>
      </c>
    </row>
    <row r="54" spans="1:60">
      <c r="A54" s="578">
        <v>49</v>
      </c>
      <c r="B54" s="4">
        <f>Summary_TG!B57</f>
        <v>0</v>
      </c>
      <c r="C54" s="4">
        <f>Summary_TG!C57</f>
        <v>0</v>
      </c>
      <c r="D54">
        <f>Summary_Services!E54</f>
        <v>0</v>
      </c>
      <c r="E54">
        <f>Summary_TG!G57</f>
        <v>0</v>
      </c>
      <c r="F54" s="517">
        <f t="shared" si="4"/>
        <v>0</v>
      </c>
      <c r="G54" s="517">
        <f t="shared" si="5"/>
        <v>0</v>
      </c>
      <c r="H54" s="517">
        <f t="shared" si="6"/>
        <v>0</v>
      </c>
      <c r="I54" s="517">
        <f t="shared" si="7"/>
        <v>0</v>
      </c>
      <c r="J54" s="517">
        <f t="shared" si="8"/>
        <v>0</v>
      </c>
      <c r="K54" s="517">
        <f t="shared" si="9"/>
        <v>0</v>
      </c>
      <c r="L54" s="517"/>
      <c r="M54" s="517">
        <f>IF($B54=0,0,(((VLOOKUP(Summary_Services!$F54,lookup_salaries,8,FALSE))*$E54)))</f>
        <v>0</v>
      </c>
      <c r="N54" s="517">
        <f>IF($B54=0,0,(((VLOOKUP(Summary_Services!$F54,lookup_salaries,8,FALSE))*$E54)))</f>
        <v>0</v>
      </c>
      <c r="O54" s="517">
        <f>IF($B54=0,0,(((VLOOKUP(Summary_Services!$F54,lookup_salaries,8,FALSE))*$E54)))</f>
        <v>0</v>
      </c>
      <c r="P54" s="517">
        <f>IF($B54=0,0,(((VLOOKUP(Summary_Services!$F54,lookup_salaries,8,FALSE))*$E54)))</f>
        <v>0</v>
      </c>
      <c r="Q54" s="517">
        <f>IF($B54=0,0,(((VLOOKUP(Summary_Services!$F54,lookup_salaries,8,FALSE))*$E54)))</f>
        <v>0</v>
      </c>
      <c r="R54" s="517">
        <f>IF($B54=0,0,(((VLOOKUP(Summary_Services!$F54,lookup_salaries,8,FALSE))*$E54)))</f>
        <v>0</v>
      </c>
      <c r="S54" s="517"/>
      <c r="T54" s="517">
        <f>IF(Summary_Services!Y54=0,0,Summary_TG!Q57/Summary_Services!Y54)</f>
        <v>0</v>
      </c>
      <c r="U54" s="517">
        <f>IF(Summary_Services!Z54=0,0,Summary_TG!R57/Summary_Services!Z54)</f>
        <v>0</v>
      </c>
      <c r="V54" s="517">
        <f>IF(Summary_Services!AA54=0,0,Summary_TG!S57/Summary_Services!AA54)</f>
        <v>0</v>
      </c>
      <c r="W54" s="517">
        <f>IF(Summary_Services!AB54=0,0,Summary_TG!T57/Summary_Services!AB54)</f>
        <v>0</v>
      </c>
      <c r="X54" s="517">
        <f>IF(Summary_Services!AC54=0,0,Summary_TG!U57/Summary_Services!AC54)</f>
        <v>0</v>
      </c>
      <c r="Y54" s="517">
        <f>IF(Summary_Services!AD54=0,0,Summary_TG!V57/Summary_Services!AD54)</f>
        <v>0</v>
      </c>
      <c r="Z54" s="517"/>
      <c r="AA54" s="517">
        <f>Summary_Services!R54</f>
        <v>0</v>
      </c>
      <c r="AB54" s="517">
        <f>Summary_Services!S54</f>
        <v>0</v>
      </c>
      <c r="AC54" s="517">
        <f>Summary_Services!T54</f>
        <v>0</v>
      </c>
      <c r="AD54" s="517">
        <f>Summary_Services!U54</f>
        <v>0</v>
      </c>
      <c r="AE54" s="517">
        <f>Summary_Services!V54</f>
        <v>0</v>
      </c>
      <c r="AF54" s="517">
        <f>Summary_Services!W54</f>
        <v>0</v>
      </c>
      <c r="AG54" s="517"/>
      <c r="AH54" s="517">
        <f t="shared" si="10"/>
        <v>0</v>
      </c>
      <c r="AI54" s="517">
        <f t="shared" si="11"/>
        <v>0</v>
      </c>
      <c r="AJ54" s="517">
        <f t="shared" si="12"/>
        <v>0</v>
      </c>
      <c r="AK54" s="517">
        <f t="shared" si="13"/>
        <v>0</v>
      </c>
      <c r="AL54" s="517">
        <f t="shared" si="14"/>
        <v>0</v>
      </c>
      <c r="AM54" s="517">
        <f t="shared" si="15"/>
        <v>0</v>
      </c>
      <c r="AN54" s="517"/>
      <c r="AO54" s="517">
        <f t="shared" si="16"/>
        <v>0</v>
      </c>
      <c r="AP54" s="517">
        <f t="shared" si="17"/>
        <v>0</v>
      </c>
      <c r="AQ54" s="517">
        <f t="shared" si="18"/>
        <v>0</v>
      </c>
      <c r="AR54" s="517">
        <f t="shared" si="19"/>
        <v>0</v>
      </c>
      <c r="AS54" s="517">
        <f t="shared" si="20"/>
        <v>0</v>
      </c>
      <c r="AT54" s="517">
        <f t="shared" si="21"/>
        <v>0</v>
      </c>
      <c r="AU54" s="517"/>
      <c r="AV54" s="517">
        <f t="shared" si="22"/>
        <v>0</v>
      </c>
      <c r="AW54" s="517">
        <f t="shared" si="23"/>
        <v>0</v>
      </c>
      <c r="AX54" s="517">
        <f t="shared" si="24"/>
        <v>0</v>
      </c>
      <c r="AY54" s="517">
        <f t="shared" si="25"/>
        <v>0</v>
      </c>
      <c r="AZ54" s="517">
        <f t="shared" si="26"/>
        <v>0</v>
      </c>
      <c r="BA54" s="517">
        <f t="shared" si="27"/>
        <v>0</v>
      </c>
      <c r="BB54" s="517"/>
      <c r="BC54" s="517" t="e">
        <f>+AH54/Demography!C$10</f>
        <v>#DIV/0!</v>
      </c>
      <c r="BD54" s="517" t="e">
        <f>+AI54/Demography!D$10</f>
        <v>#DIV/0!</v>
      </c>
      <c r="BE54" s="517" t="e">
        <f>+AJ54/Demography!E$10</f>
        <v>#DIV/0!</v>
      </c>
      <c r="BF54" s="517" t="e">
        <f>+AK54/Demography!F$10</f>
        <v>#DIV/0!</v>
      </c>
      <c r="BG54" s="517" t="e">
        <f>+AL54/Demography!G$10</f>
        <v>#DIV/0!</v>
      </c>
      <c r="BH54" s="517" t="e">
        <f>+AM54/Demography!H$10</f>
        <v>#DIV/0!</v>
      </c>
    </row>
    <row r="55" spans="1:60">
      <c r="A55" s="578">
        <v>50</v>
      </c>
      <c r="B55" s="4">
        <f>Summary_TG!B58</f>
        <v>0</v>
      </c>
      <c r="C55" s="4">
        <f>Summary_TG!C58</f>
        <v>0</v>
      </c>
      <c r="D55">
        <f>Summary_Services!E55</f>
        <v>0</v>
      </c>
      <c r="E55">
        <f>Summary_TG!G58</f>
        <v>0</v>
      </c>
      <c r="F55" s="517">
        <f t="shared" si="4"/>
        <v>0</v>
      </c>
      <c r="G55" s="517">
        <f t="shared" si="5"/>
        <v>0</v>
      </c>
      <c r="H55" s="517">
        <f t="shared" si="6"/>
        <v>0</v>
      </c>
      <c r="I55" s="517">
        <f t="shared" si="7"/>
        <v>0</v>
      </c>
      <c r="J55" s="517">
        <f t="shared" si="8"/>
        <v>0</v>
      </c>
      <c r="K55" s="517">
        <f t="shared" si="9"/>
        <v>0</v>
      </c>
      <c r="L55" s="517"/>
      <c r="M55" s="517">
        <f>IF($B55=0,0,(((VLOOKUP(Summary_Services!$F55,lookup_salaries,8,FALSE))*$E55)))</f>
        <v>0</v>
      </c>
      <c r="N55" s="517">
        <f>IF($B55=0,0,(((VLOOKUP(Summary_Services!$F55,lookup_salaries,8,FALSE))*$E55)))</f>
        <v>0</v>
      </c>
      <c r="O55" s="517">
        <f>IF($B55=0,0,(((VLOOKUP(Summary_Services!$F55,lookup_salaries,8,FALSE))*$E55)))</f>
        <v>0</v>
      </c>
      <c r="P55" s="517">
        <f>IF($B55=0,0,(((VLOOKUP(Summary_Services!$F55,lookup_salaries,8,FALSE))*$E55)))</f>
        <v>0</v>
      </c>
      <c r="Q55" s="517">
        <f>IF($B55=0,0,(((VLOOKUP(Summary_Services!$F55,lookup_salaries,8,FALSE))*$E55)))</f>
        <v>0</v>
      </c>
      <c r="R55" s="517">
        <f>IF($B55=0,0,(((VLOOKUP(Summary_Services!$F55,lookup_salaries,8,FALSE))*$E55)))</f>
        <v>0</v>
      </c>
      <c r="S55" s="517"/>
      <c r="T55" s="517">
        <f>IF(Summary_Services!Y55=0,0,Summary_TG!Q58/Summary_Services!Y55)</f>
        <v>0</v>
      </c>
      <c r="U55" s="517">
        <f>IF(Summary_Services!Z55=0,0,Summary_TG!R58/Summary_Services!Z55)</f>
        <v>0</v>
      </c>
      <c r="V55" s="517">
        <f>IF(Summary_Services!AA55=0,0,Summary_TG!S58/Summary_Services!AA55)</f>
        <v>0</v>
      </c>
      <c r="W55" s="517">
        <f>IF(Summary_Services!AB55=0,0,Summary_TG!T58/Summary_Services!AB55)</f>
        <v>0</v>
      </c>
      <c r="X55" s="517">
        <f>IF(Summary_Services!AC55=0,0,Summary_TG!U58/Summary_Services!AC55)</f>
        <v>0</v>
      </c>
      <c r="Y55" s="517">
        <f>IF(Summary_Services!AD55=0,0,Summary_TG!V58/Summary_Services!AD55)</f>
        <v>0</v>
      </c>
      <c r="Z55" s="517"/>
      <c r="AA55" s="517">
        <f>Summary_Services!R55</f>
        <v>0</v>
      </c>
      <c r="AB55" s="517">
        <f>Summary_Services!S55</f>
        <v>0</v>
      </c>
      <c r="AC55" s="517">
        <f>Summary_Services!T55</f>
        <v>0</v>
      </c>
      <c r="AD55" s="517">
        <f>Summary_Services!U55</f>
        <v>0</v>
      </c>
      <c r="AE55" s="517">
        <f>Summary_Services!V55</f>
        <v>0</v>
      </c>
      <c r="AF55" s="517">
        <f>Summary_Services!W55</f>
        <v>0</v>
      </c>
      <c r="AG55" s="517"/>
      <c r="AH55" s="517">
        <f t="shared" si="10"/>
        <v>0</v>
      </c>
      <c r="AI55" s="517">
        <f t="shared" si="11"/>
        <v>0</v>
      </c>
      <c r="AJ55" s="517">
        <f t="shared" si="12"/>
        <v>0</v>
      </c>
      <c r="AK55" s="517">
        <f t="shared" si="13"/>
        <v>0</v>
      </c>
      <c r="AL55" s="517">
        <f t="shared" si="14"/>
        <v>0</v>
      </c>
      <c r="AM55" s="517">
        <f t="shared" si="15"/>
        <v>0</v>
      </c>
      <c r="AN55" s="517"/>
      <c r="AO55" s="517">
        <f t="shared" si="16"/>
        <v>0</v>
      </c>
      <c r="AP55" s="517">
        <f t="shared" si="17"/>
        <v>0</v>
      </c>
      <c r="AQ55" s="517">
        <f t="shared" si="18"/>
        <v>0</v>
      </c>
      <c r="AR55" s="517">
        <f t="shared" si="19"/>
        <v>0</v>
      </c>
      <c r="AS55" s="517">
        <f t="shared" si="20"/>
        <v>0</v>
      </c>
      <c r="AT55" s="517">
        <f t="shared" si="21"/>
        <v>0</v>
      </c>
      <c r="AU55" s="517"/>
      <c r="AV55" s="517">
        <f t="shared" si="22"/>
        <v>0</v>
      </c>
      <c r="AW55" s="517">
        <f t="shared" si="23"/>
        <v>0</v>
      </c>
      <c r="AX55" s="517">
        <f t="shared" si="24"/>
        <v>0</v>
      </c>
      <c r="AY55" s="517">
        <f t="shared" si="25"/>
        <v>0</v>
      </c>
      <c r="AZ55" s="517">
        <f t="shared" si="26"/>
        <v>0</v>
      </c>
      <c r="BA55" s="517">
        <f t="shared" si="27"/>
        <v>0</v>
      </c>
      <c r="BB55" s="517"/>
      <c r="BC55" s="517" t="e">
        <f>+AH55/Demography!C$10</f>
        <v>#DIV/0!</v>
      </c>
      <c r="BD55" s="517" t="e">
        <f>+AI55/Demography!D$10</f>
        <v>#DIV/0!</v>
      </c>
      <c r="BE55" s="517" t="e">
        <f>+AJ55/Demography!E$10</f>
        <v>#DIV/0!</v>
      </c>
      <c r="BF55" s="517" t="e">
        <f>+AK55/Demography!F$10</f>
        <v>#DIV/0!</v>
      </c>
      <c r="BG55" s="517" t="e">
        <f>+AL55/Demography!G$10</f>
        <v>#DIV/0!</v>
      </c>
      <c r="BH55" s="517" t="e">
        <f>+AM55/Demography!H$10</f>
        <v>#DIV/0!</v>
      </c>
    </row>
    <row r="56" spans="1:60">
      <c r="A56" s="578">
        <v>51</v>
      </c>
      <c r="B56" s="4">
        <f>Summary_TG!B59</f>
        <v>0</v>
      </c>
      <c r="C56" s="4">
        <f>Summary_TG!C59</f>
        <v>0</v>
      </c>
      <c r="D56">
        <f>Summary_Services!E56</f>
        <v>0</v>
      </c>
      <c r="E56">
        <f>Summary_TG!G59</f>
        <v>0</v>
      </c>
      <c r="F56" s="517">
        <f t="shared" si="4"/>
        <v>0</v>
      </c>
      <c r="G56" s="517">
        <f t="shared" si="5"/>
        <v>0</v>
      </c>
      <c r="H56" s="517">
        <f t="shared" si="6"/>
        <v>0</v>
      </c>
      <c r="I56" s="517">
        <f t="shared" si="7"/>
        <v>0</v>
      </c>
      <c r="J56" s="517">
        <f t="shared" si="8"/>
        <v>0</v>
      </c>
      <c r="K56" s="517">
        <f t="shared" si="9"/>
        <v>0</v>
      </c>
      <c r="L56" s="517"/>
      <c r="M56" s="517">
        <f>IF($B56=0,0,(((VLOOKUP(Summary_Services!$F56,lookup_salaries,8,FALSE))*$E56)))</f>
        <v>0</v>
      </c>
      <c r="N56" s="517">
        <f>IF($B56=0,0,(((VLOOKUP(Summary_Services!$F56,lookup_salaries,8,FALSE))*$E56)))</f>
        <v>0</v>
      </c>
      <c r="O56" s="517">
        <f>IF($B56=0,0,(((VLOOKUP(Summary_Services!$F56,lookup_salaries,8,FALSE))*$E56)))</f>
        <v>0</v>
      </c>
      <c r="P56" s="517">
        <f>IF($B56=0,0,(((VLOOKUP(Summary_Services!$F56,lookup_salaries,8,FALSE))*$E56)))</f>
        <v>0</v>
      </c>
      <c r="Q56" s="517">
        <f>IF($B56=0,0,(((VLOOKUP(Summary_Services!$F56,lookup_salaries,8,FALSE))*$E56)))</f>
        <v>0</v>
      </c>
      <c r="R56" s="517">
        <f>IF($B56=0,0,(((VLOOKUP(Summary_Services!$F56,lookup_salaries,8,FALSE))*$E56)))</f>
        <v>0</v>
      </c>
      <c r="S56" s="517"/>
      <c r="T56" s="517">
        <f>IF(Summary_Services!Y56=0,0,Summary_TG!Q59/Summary_Services!Y56)</f>
        <v>0</v>
      </c>
      <c r="U56" s="517">
        <f>IF(Summary_Services!Z56=0,0,Summary_TG!R59/Summary_Services!Z56)</f>
        <v>0</v>
      </c>
      <c r="V56" s="517">
        <f>IF(Summary_Services!AA56=0,0,Summary_TG!S59/Summary_Services!AA56)</f>
        <v>0</v>
      </c>
      <c r="W56" s="517">
        <f>IF(Summary_Services!AB56=0,0,Summary_TG!T59/Summary_Services!AB56)</f>
        <v>0</v>
      </c>
      <c r="X56" s="517">
        <f>IF(Summary_Services!AC56=0,0,Summary_TG!U59/Summary_Services!AC56)</f>
        <v>0</v>
      </c>
      <c r="Y56" s="517">
        <f>IF(Summary_Services!AD56=0,0,Summary_TG!V59/Summary_Services!AD56)</f>
        <v>0</v>
      </c>
      <c r="Z56" s="517"/>
      <c r="AA56" s="517">
        <f>Summary_Services!R56</f>
        <v>0</v>
      </c>
      <c r="AB56" s="517">
        <f>Summary_Services!S56</f>
        <v>0</v>
      </c>
      <c r="AC56" s="517">
        <f>Summary_Services!T56</f>
        <v>0</v>
      </c>
      <c r="AD56" s="517">
        <f>Summary_Services!U56</f>
        <v>0</v>
      </c>
      <c r="AE56" s="517">
        <f>Summary_Services!V56</f>
        <v>0</v>
      </c>
      <c r="AF56" s="517">
        <f>Summary_Services!W56</f>
        <v>0</v>
      </c>
      <c r="AG56" s="517"/>
      <c r="AH56" s="517">
        <f t="shared" si="10"/>
        <v>0</v>
      </c>
      <c r="AI56" s="517">
        <f t="shared" si="11"/>
        <v>0</v>
      </c>
      <c r="AJ56" s="517">
        <f t="shared" si="12"/>
        <v>0</v>
      </c>
      <c r="AK56" s="517">
        <f t="shared" si="13"/>
        <v>0</v>
      </c>
      <c r="AL56" s="517">
        <f t="shared" si="14"/>
        <v>0</v>
      </c>
      <c r="AM56" s="517">
        <f t="shared" si="15"/>
        <v>0</v>
      </c>
      <c r="AN56" s="517"/>
      <c r="AO56" s="517">
        <f t="shared" si="16"/>
        <v>0</v>
      </c>
      <c r="AP56" s="517">
        <f t="shared" si="17"/>
        <v>0</v>
      </c>
      <c r="AQ56" s="517">
        <f t="shared" si="18"/>
        <v>0</v>
      </c>
      <c r="AR56" s="517">
        <f t="shared" si="19"/>
        <v>0</v>
      </c>
      <c r="AS56" s="517">
        <f t="shared" si="20"/>
        <v>0</v>
      </c>
      <c r="AT56" s="517">
        <f t="shared" si="21"/>
        <v>0</v>
      </c>
      <c r="AU56" s="517"/>
      <c r="AV56" s="517">
        <f t="shared" si="22"/>
        <v>0</v>
      </c>
      <c r="AW56" s="517">
        <f t="shared" si="23"/>
        <v>0</v>
      </c>
      <c r="AX56" s="517">
        <f t="shared" si="24"/>
        <v>0</v>
      </c>
      <c r="AY56" s="517">
        <f t="shared" si="25"/>
        <v>0</v>
      </c>
      <c r="AZ56" s="517">
        <f t="shared" si="26"/>
        <v>0</v>
      </c>
      <c r="BA56" s="517">
        <f t="shared" si="27"/>
        <v>0</v>
      </c>
      <c r="BB56" s="517"/>
      <c r="BC56" s="517" t="e">
        <f>+AH56/Demography!C$10</f>
        <v>#DIV/0!</v>
      </c>
      <c r="BD56" s="517" t="e">
        <f>+AI56/Demography!D$10</f>
        <v>#DIV/0!</v>
      </c>
      <c r="BE56" s="517" t="e">
        <f>+AJ56/Demography!E$10</f>
        <v>#DIV/0!</v>
      </c>
      <c r="BF56" s="517" t="e">
        <f>+AK56/Demography!F$10</f>
        <v>#DIV/0!</v>
      </c>
      <c r="BG56" s="517" t="e">
        <f>+AL56/Demography!G$10</f>
        <v>#DIV/0!</v>
      </c>
      <c r="BH56" s="517" t="e">
        <f>+AM56/Demography!H$10</f>
        <v>#DIV/0!</v>
      </c>
    </row>
    <row r="57" spans="1:60">
      <c r="A57" s="578">
        <v>52</v>
      </c>
      <c r="B57" s="4">
        <f>Summary_TG!B60</f>
        <v>0</v>
      </c>
      <c r="C57" s="4">
        <f>Summary_TG!C60</f>
        <v>0</v>
      </c>
      <c r="D57">
        <f>Summary_Services!E57</f>
        <v>0</v>
      </c>
      <c r="E57">
        <f>Summary_TG!G60</f>
        <v>0</v>
      </c>
      <c r="F57" s="517">
        <f t="shared" si="4"/>
        <v>0</v>
      </c>
      <c r="G57" s="517">
        <f t="shared" si="5"/>
        <v>0</v>
      </c>
      <c r="H57" s="517">
        <f t="shared" si="6"/>
        <v>0</v>
      </c>
      <c r="I57" s="517">
        <f t="shared" si="7"/>
        <v>0</v>
      </c>
      <c r="J57" s="517">
        <f t="shared" si="8"/>
        <v>0</v>
      </c>
      <c r="K57" s="517">
        <f t="shared" si="9"/>
        <v>0</v>
      </c>
      <c r="L57" s="517"/>
      <c r="M57" s="517">
        <f>IF($B57=0,0,(((VLOOKUP(Summary_Services!$F57,lookup_salaries,8,FALSE))*$E57)))</f>
        <v>0</v>
      </c>
      <c r="N57" s="517">
        <f>IF($B57=0,0,(((VLOOKUP(Summary_Services!$F57,lookup_salaries,8,FALSE))*$E57)))</f>
        <v>0</v>
      </c>
      <c r="O57" s="517">
        <f>IF($B57=0,0,(((VLOOKUP(Summary_Services!$F57,lookup_salaries,8,FALSE))*$E57)))</f>
        <v>0</v>
      </c>
      <c r="P57" s="517">
        <f>IF($B57=0,0,(((VLOOKUP(Summary_Services!$F57,lookup_salaries,8,FALSE))*$E57)))</f>
        <v>0</v>
      </c>
      <c r="Q57" s="517">
        <f>IF($B57=0,0,(((VLOOKUP(Summary_Services!$F57,lookup_salaries,8,FALSE))*$E57)))</f>
        <v>0</v>
      </c>
      <c r="R57" s="517">
        <f>IF($B57=0,0,(((VLOOKUP(Summary_Services!$F57,lookup_salaries,8,FALSE))*$E57)))</f>
        <v>0</v>
      </c>
      <c r="S57" s="517"/>
      <c r="T57" s="517">
        <f>IF(Summary_Services!Y57=0,0,Summary_TG!Q60/Summary_Services!Y57)</f>
        <v>0</v>
      </c>
      <c r="U57" s="517">
        <f>IF(Summary_Services!Z57=0,0,Summary_TG!R60/Summary_Services!Z57)</f>
        <v>0</v>
      </c>
      <c r="V57" s="517">
        <f>IF(Summary_Services!AA57=0,0,Summary_TG!S60/Summary_Services!AA57)</f>
        <v>0</v>
      </c>
      <c r="W57" s="517">
        <f>IF(Summary_Services!AB57=0,0,Summary_TG!T60/Summary_Services!AB57)</f>
        <v>0</v>
      </c>
      <c r="X57" s="517">
        <f>IF(Summary_Services!AC57=0,0,Summary_TG!U60/Summary_Services!AC57)</f>
        <v>0</v>
      </c>
      <c r="Y57" s="517">
        <f>IF(Summary_Services!AD57=0,0,Summary_TG!V60/Summary_Services!AD57)</f>
        <v>0</v>
      </c>
      <c r="Z57" s="517"/>
      <c r="AA57" s="517">
        <f>Summary_Services!R57</f>
        <v>0</v>
      </c>
      <c r="AB57" s="517">
        <f>Summary_Services!S57</f>
        <v>0</v>
      </c>
      <c r="AC57" s="517">
        <f>Summary_Services!T57</f>
        <v>0</v>
      </c>
      <c r="AD57" s="517">
        <f>Summary_Services!U57</f>
        <v>0</v>
      </c>
      <c r="AE57" s="517">
        <f>Summary_Services!V57</f>
        <v>0</v>
      </c>
      <c r="AF57" s="517">
        <f>Summary_Services!W57</f>
        <v>0</v>
      </c>
      <c r="AG57" s="517"/>
      <c r="AH57" s="517">
        <f t="shared" si="10"/>
        <v>0</v>
      </c>
      <c r="AI57" s="517">
        <f t="shared" si="11"/>
        <v>0</v>
      </c>
      <c r="AJ57" s="517">
        <f t="shared" si="12"/>
        <v>0</v>
      </c>
      <c r="AK57" s="517">
        <f t="shared" si="13"/>
        <v>0</v>
      </c>
      <c r="AL57" s="517">
        <f t="shared" si="14"/>
        <v>0</v>
      </c>
      <c r="AM57" s="517">
        <f t="shared" si="15"/>
        <v>0</v>
      </c>
      <c r="AN57" s="517"/>
      <c r="AO57" s="517">
        <f t="shared" si="16"/>
        <v>0</v>
      </c>
      <c r="AP57" s="517">
        <f t="shared" si="17"/>
        <v>0</v>
      </c>
      <c r="AQ57" s="517">
        <f t="shared" si="18"/>
        <v>0</v>
      </c>
      <c r="AR57" s="517">
        <f t="shared" si="19"/>
        <v>0</v>
      </c>
      <c r="AS57" s="517">
        <f t="shared" si="20"/>
        <v>0</v>
      </c>
      <c r="AT57" s="517">
        <f t="shared" si="21"/>
        <v>0</v>
      </c>
      <c r="AU57" s="517"/>
      <c r="AV57" s="517">
        <f t="shared" si="22"/>
        <v>0</v>
      </c>
      <c r="AW57" s="517">
        <f t="shared" si="23"/>
        <v>0</v>
      </c>
      <c r="AX57" s="517">
        <f t="shared" si="24"/>
        <v>0</v>
      </c>
      <c r="AY57" s="517">
        <f t="shared" si="25"/>
        <v>0</v>
      </c>
      <c r="AZ57" s="517">
        <f t="shared" si="26"/>
        <v>0</v>
      </c>
      <c r="BA57" s="517">
        <f t="shared" si="27"/>
        <v>0</v>
      </c>
      <c r="BB57" s="517"/>
      <c r="BC57" s="517" t="e">
        <f>+AH57/Demography!C$10</f>
        <v>#DIV/0!</v>
      </c>
      <c r="BD57" s="517" t="e">
        <f>+AI57/Demography!D$10</f>
        <v>#DIV/0!</v>
      </c>
      <c r="BE57" s="517" t="e">
        <f>+AJ57/Demography!E$10</f>
        <v>#DIV/0!</v>
      </c>
      <c r="BF57" s="517" t="e">
        <f>+AK57/Demography!F$10</f>
        <v>#DIV/0!</v>
      </c>
      <c r="BG57" s="517" t="e">
        <f>+AL57/Demography!G$10</f>
        <v>#DIV/0!</v>
      </c>
      <c r="BH57" s="517" t="e">
        <f>+AM57/Demography!H$10</f>
        <v>#DIV/0!</v>
      </c>
    </row>
    <row r="58" spans="1:60">
      <c r="A58" s="578">
        <v>53</v>
      </c>
      <c r="B58" s="4">
        <f>Summary_TG!B61</f>
        <v>0</v>
      </c>
      <c r="C58" s="4">
        <f>Summary_TG!C61</f>
        <v>0</v>
      </c>
      <c r="D58">
        <f>Summary_Services!E58</f>
        <v>0</v>
      </c>
      <c r="E58">
        <f>Summary_TG!G61</f>
        <v>0</v>
      </c>
      <c r="F58" s="517">
        <f t="shared" si="4"/>
        <v>0</v>
      </c>
      <c r="G58" s="517">
        <f t="shared" si="5"/>
        <v>0</v>
      </c>
      <c r="H58" s="517">
        <f t="shared" si="6"/>
        <v>0</v>
      </c>
      <c r="I58" s="517">
        <f t="shared" si="7"/>
        <v>0</v>
      </c>
      <c r="J58" s="517">
        <f t="shared" si="8"/>
        <v>0</v>
      </c>
      <c r="K58" s="517">
        <f t="shared" si="9"/>
        <v>0</v>
      </c>
      <c r="L58" s="517"/>
      <c r="M58" s="517">
        <f>IF($B58=0,0,(((VLOOKUP(Summary_Services!$F58,lookup_salaries,8,FALSE))*$E58)))</f>
        <v>0</v>
      </c>
      <c r="N58" s="517">
        <f>IF($B58=0,0,(((VLOOKUP(Summary_Services!$F58,lookup_salaries,8,FALSE))*$E58)))</f>
        <v>0</v>
      </c>
      <c r="O58" s="517">
        <f>IF($B58=0,0,(((VLOOKUP(Summary_Services!$F58,lookup_salaries,8,FALSE))*$E58)))</f>
        <v>0</v>
      </c>
      <c r="P58" s="517">
        <f>IF($B58=0,0,(((VLOOKUP(Summary_Services!$F58,lookup_salaries,8,FALSE))*$E58)))</f>
        <v>0</v>
      </c>
      <c r="Q58" s="517">
        <f>IF($B58=0,0,(((VLOOKUP(Summary_Services!$F58,lookup_salaries,8,FALSE))*$E58)))</f>
        <v>0</v>
      </c>
      <c r="R58" s="517">
        <f>IF($B58=0,0,(((VLOOKUP(Summary_Services!$F58,lookup_salaries,8,FALSE))*$E58)))</f>
        <v>0</v>
      </c>
      <c r="S58" s="517"/>
      <c r="T58" s="517">
        <f>IF(Summary_Services!Y58=0,0,Summary_TG!Q61/Summary_Services!Y58)</f>
        <v>0</v>
      </c>
      <c r="U58" s="517">
        <f>IF(Summary_Services!Z58=0,0,Summary_TG!R61/Summary_Services!Z58)</f>
        <v>0</v>
      </c>
      <c r="V58" s="517">
        <f>IF(Summary_Services!AA58=0,0,Summary_TG!S61/Summary_Services!AA58)</f>
        <v>0</v>
      </c>
      <c r="W58" s="517">
        <f>IF(Summary_Services!AB58=0,0,Summary_TG!T61/Summary_Services!AB58)</f>
        <v>0</v>
      </c>
      <c r="X58" s="517">
        <f>IF(Summary_Services!AC58=0,0,Summary_TG!U61/Summary_Services!AC58)</f>
        <v>0</v>
      </c>
      <c r="Y58" s="517">
        <f>IF(Summary_Services!AD58=0,0,Summary_TG!V61/Summary_Services!AD58)</f>
        <v>0</v>
      </c>
      <c r="Z58" s="517"/>
      <c r="AA58" s="517">
        <f>Summary_Services!R58</f>
        <v>0</v>
      </c>
      <c r="AB58" s="517">
        <f>Summary_Services!S58</f>
        <v>0</v>
      </c>
      <c r="AC58" s="517">
        <f>Summary_Services!T58</f>
        <v>0</v>
      </c>
      <c r="AD58" s="517">
        <f>Summary_Services!U58</f>
        <v>0</v>
      </c>
      <c r="AE58" s="517">
        <f>Summary_Services!V58</f>
        <v>0</v>
      </c>
      <c r="AF58" s="517">
        <f>Summary_Services!W58</f>
        <v>0</v>
      </c>
      <c r="AG58" s="517"/>
      <c r="AH58" s="517">
        <f t="shared" si="10"/>
        <v>0</v>
      </c>
      <c r="AI58" s="517">
        <f t="shared" si="11"/>
        <v>0</v>
      </c>
      <c r="AJ58" s="517">
        <f t="shared" si="12"/>
        <v>0</v>
      </c>
      <c r="AK58" s="517">
        <f t="shared" si="13"/>
        <v>0</v>
      </c>
      <c r="AL58" s="517">
        <f t="shared" si="14"/>
        <v>0</v>
      </c>
      <c r="AM58" s="517">
        <f t="shared" si="15"/>
        <v>0</v>
      </c>
      <c r="AN58" s="517"/>
      <c r="AO58" s="517">
        <f t="shared" si="16"/>
        <v>0</v>
      </c>
      <c r="AP58" s="517">
        <f t="shared" si="17"/>
        <v>0</v>
      </c>
      <c r="AQ58" s="517">
        <f t="shared" si="18"/>
        <v>0</v>
      </c>
      <c r="AR58" s="517">
        <f t="shared" si="19"/>
        <v>0</v>
      </c>
      <c r="AS58" s="517">
        <f t="shared" si="20"/>
        <v>0</v>
      </c>
      <c r="AT58" s="517">
        <f t="shared" si="21"/>
        <v>0</v>
      </c>
      <c r="AU58" s="517"/>
      <c r="AV58" s="517">
        <f t="shared" si="22"/>
        <v>0</v>
      </c>
      <c r="AW58" s="517">
        <f t="shared" si="23"/>
        <v>0</v>
      </c>
      <c r="AX58" s="517">
        <f t="shared" si="24"/>
        <v>0</v>
      </c>
      <c r="AY58" s="517">
        <f t="shared" si="25"/>
        <v>0</v>
      </c>
      <c r="AZ58" s="517">
        <f t="shared" si="26"/>
        <v>0</v>
      </c>
      <c r="BA58" s="517">
        <f t="shared" si="27"/>
        <v>0</v>
      </c>
      <c r="BB58" s="517"/>
      <c r="BC58" s="517" t="e">
        <f>+AH58/Demography!C$10</f>
        <v>#DIV/0!</v>
      </c>
      <c r="BD58" s="517" t="e">
        <f>+AI58/Demography!D$10</f>
        <v>#DIV/0!</v>
      </c>
      <c r="BE58" s="517" t="e">
        <f>+AJ58/Demography!E$10</f>
        <v>#DIV/0!</v>
      </c>
      <c r="BF58" s="517" t="e">
        <f>+AK58/Demography!F$10</f>
        <v>#DIV/0!</v>
      </c>
      <c r="BG58" s="517" t="e">
        <f>+AL58/Demography!G$10</f>
        <v>#DIV/0!</v>
      </c>
      <c r="BH58" s="517" t="e">
        <f>+AM58/Demography!H$10</f>
        <v>#DIV/0!</v>
      </c>
    </row>
    <row r="59" spans="1:60">
      <c r="A59" s="578">
        <v>54</v>
      </c>
      <c r="B59" s="4">
        <f>Summary_TG!B62</f>
        <v>0</v>
      </c>
      <c r="C59" s="4">
        <f>Summary_TG!C62</f>
        <v>0</v>
      </c>
      <c r="D59">
        <f>Summary_Services!E59</f>
        <v>0</v>
      </c>
      <c r="E59">
        <f>Summary_TG!G62</f>
        <v>0</v>
      </c>
      <c r="F59" s="517">
        <f t="shared" si="4"/>
        <v>0</v>
      </c>
      <c r="G59" s="517">
        <f t="shared" si="5"/>
        <v>0</v>
      </c>
      <c r="H59" s="517">
        <f t="shared" si="6"/>
        <v>0</v>
      </c>
      <c r="I59" s="517">
        <f t="shared" si="7"/>
        <v>0</v>
      </c>
      <c r="J59" s="517">
        <f t="shared" si="8"/>
        <v>0</v>
      </c>
      <c r="K59" s="517">
        <f t="shared" si="9"/>
        <v>0</v>
      </c>
      <c r="L59" s="517"/>
      <c r="M59" s="517">
        <f>IF($B59=0,0,(((VLOOKUP(Summary_Services!$F59,lookup_salaries,8,FALSE))*$E59)))</f>
        <v>0</v>
      </c>
      <c r="N59" s="517">
        <f>IF($B59=0,0,(((VLOOKUP(Summary_Services!$F59,lookup_salaries,8,FALSE))*$E59)))</f>
        <v>0</v>
      </c>
      <c r="O59" s="517">
        <f>IF($B59=0,0,(((VLOOKUP(Summary_Services!$F59,lookup_salaries,8,FALSE))*$E59)))</f>
        <v>0</v>
      </c>
      <c r="P59" s="517">
        <f>IF($B59=0,0,(((VLOOKUP(Summary_Services!$F59,lookup_salaries,8,FALSE))*$E59)))</f>
        <v>0</v>
      </c>
      <c r="Q59" s="517">
        <f>IF($B59=0,0,(((VLOOKUP(Summary_Services!$F59,lookup_salaries,8,FALSE))*$E59)))</f>
        <v>0</v>
      </c>
      <c r="R59" s="517">
        <f>IF($B59=0,0,(((VLOOKUP(Summary_Services!$F59,lookup_salaries,8,FALSE))*$E59)))</f>
        <v>0</v>
      </c>
      <c r="S59" s="517"/>
      <c r="T59" s="517">
        <f>IF(Summary_Services!Y59=0,0,Summary_TG!Q62/Summary_Services!Y59)</f>
        <v>0</v>
      </c>
      <c r="U59" s="517">
        <f>IF(Summary_Services!Z59=0,0,Summary_TG!R62/Summary_Services!Z59)</f>
        <v>0</v>
      </c>
      <c r="V59" s="517">
        <f>IF(Summary_Services!AA59=0,0,Summary_TG!S62/Summary_Services!AA59)</f>
        <v>0</v>
      </c>
      <c r="W59" s="517">
        <f>IF(Summary_Services!AB59=0,0,Summary_TG!T62/Summary_Services!AB59)</f>
        <v>0</v>
      </c>
      <c r="X59" s="517">
        <f>IF(Summary_Services!AC59=0,0,Summary_TG!U62/Summary_Services!AC59)</f>
        <v>0</v>
      </c>
      <c r="Y59" s="517">
        <f>IF(Summary_Services!AD59=0,0,Summary_TG!V62/Summary_Services!AD59)</f>
        <v>0</v>
      </c>
      <c r="Z59" s="517"/>
      <c r="AA59" s="517">
        <f>Summary_Services!R59</f>
        <v>0</v>
      </c>
      <c r="AB59" s="517">
        <f>Summary_Services!S59</f>
        <v>0</v>
      </c>
      <c r="AC59" s="517">
        <f>Summary_Services!T59</f>
        <v>0</v>
      </c>
      <c r="AD59" s="517">
        <f>Summary_Services!U59</f>
        <v>0</v>
      </c>
      <c r="AE59" s="517">
        <f>Summary_Services!V59</f>
        <v>0</v>
      </c>
      <c r="AF59" s="517">
        <f>Summary_Services!W59</f>
        <v>0</v>
      </c>
      <c r="AG59" s="517"/>
      <c r="AH59" s="517">
        <f t="shared" si="10"/>
        <v>0</v>
      </c>
      <c r="AI59" s="517">
        <f t="shared" si="11"/>
        <v>0</v>
      </c>
      <c r="AJ59" s="517">
        <f t="shared" si="12"/>
        <v>0</v>
      </c>
      <c r="AK59" s="517">
        <f t="shared" si="13"/>
        <v>0</v>
      </c>
      <c r="AL59" s="517">
        <f t="shared" si="14"/>
        <v>0</v>
      </c>
      <c r="AM59" s="517">
        <f t="shared" si="15"/>
        <v>0</v>
      </c>
      <c r="AN59" s="517"/>
      <c r="AO59" s="517">
        <f t="shared" si="16"/>
        <v>0</v>
      </c>
      <c r="AP59" s="517">
        <f t="shared" si="17"/>
        <v>0</v>
      </c>
      <c r="AQ59" s="517">
        <f t="shared" si="18"/>
        <v>0</v>
      </c>
      <c r="AR59" s="517">
        <f t="shared" si="19"/>
        <v>0</v>
      </c>
      <c r="AS59" s="517">
        <f t="shared" si="20"/>
        <v>0</v>
      </c>
      <c r="AT59" s="517">
        <f t="shared" si="21"/>
        <v>0</v>
      </c>
      <c r="AU59" s="517"/>
      <c r="AV59" s="517">
        <f t="shared" si="22"/>
        <v>0</v>
      </c>
      <c r="AW59" s="517">
        <f t="shared" si="23"/>
        <v>0</v>
      </c>
      <c r="AX59" s="517">
        <f t="shared" si="24"/>
        <v>0</v>
      </c>
      <c r="AY59" s="517">
        <f t="shared" si="25"/>
        <v>0</v>
      </c>
      <c r="AZ59" s="517">
        <f t="shared" si="26"/>
        <v>0</v>
      </c>
      <c r="BA59" s="517">
        <f t="shared" si="27"/>
        <v>0</v>
      </c>
      <c r="BB59" s="517"/>
      <c r="BC59" s="517" t="e">
        <f>+AH59/Demography!C$10</f>
        <v>#DIV/0!</v>
      </c>
      <c r="BD59" s="517" t="e">
        <f>+AI59/Demography!D$10</f>
        <v>#DIV/0!</v>
      </c>
      <c r="BE59" s="517" t="e">
        <f>+AJ59/Demography!E$10</f>
        <v>#DIV/0!</v>
      </c>
      <c r="BF59" s="517" t="e">
        <f>+AK59/Demography!F$10</f>
        <v>#DIV/0!</v>
      </c>
      <c r="BG59" s="517" t="e">
        <f>+AL59/Demography!G$10</f>
        <v>#DIV/0!</v>
      </c>
      <c r="BH59" s="517" t="e">
        <f>+AM59/Demography!H$10</f>
        <v>#DIV/0!</v>
      </c>
    </row>
    <row r="60" spans="1:60">
      <c r="A60" s="578">
        <v>55</v>
      </c>
      <c r="B60" s="4">
        <f>Summary_TG!B63</f>
        <v>0</v>
      </c>
      <c r="C60" s="4">
        <f>Summary_TG!C63</f>
        <v>0</v>
      </c>
      <c r="D60">
        <f>Summary_Services!E60</f>
        <v>0</v>
      </c>
      <c r="E60">
        <f>Summary_TG!G63</f>
        <v>0</v>
      </c>
      <c r="F60" s="517">
        <f t="shared" si="4"/>
        <v>0</v>
      </c>
      <c r="G60" s="517">
        <f t="shared" si="5"/>
        <v>0</v>
      </c>
      <c r="H60" s="517">
        <f t="shared" si="6"/>
        <v>0</v>
      </c>
      <c r="I60" s="517">
        <f t="shared" si="7"/>
        <v>0</v>
      </c>
      <c r="J60" s="517">
        <f t="shared" si="8"/>
        <v>0</v>
      </c>
      <c r="K60" s="517">
        <f t="shared" si="9"/>
        <v>0</v>
      </c>
      <c r="L60" s="517"/>
      <c r="M60" s="517">
        <f>IF($B60=0,0,(((VLOOKUP(Summary_Services!$F60,lookup_salaries,8,FALSE))*$E60)))</f>
        <v>0</v>
      </c>
      <c r="N60" s="517">
        <f>IF($B60=0,0,(((VLOOKUP(Summary_Services!$F60,lookup_salaries,8,FALSE))*$E60)))</f>
        <v>0</v>
      </c>
      <c r="O60" s="517">
        <f>IF($B60=0,0,(((VLOOKUP(Summary_Services!$F60,lookup_salaries,8,FALSE))*$E60)))</f>
        <v>0</v>
      </c>
      <c r="P60" s="517">
        <f>IF($B60=0,0,(((VLOOKUP(Summary_Services!$F60,lookup_salaries,8,FALSE))*$E60)))</f>
        <v>0</v>
      </c>
      <c r="Q60" s="517">
        <f>IF($B60=0,0,(((VLOOKUP(Summary_Services!$F60,lookup_salaries,8,FALSE))*$E60)))</f>
        <v>0</v>
      </c>
      <c r="R60" s="517">
        <f>IF($B60=0,0,(((VLOOKUP(Summary_Services!$F60,lookup_salaries,8,FALSE))*$E60)))</f>
        <v>0</v>
      </c>
      <c r="S60" s="517"/>
      <c r="T60" s="517">
        <f>IF(Summary_Services!Y60=0,0,Summary_TG!Q63/Summary_Services!Y60)</f>
        <v>0</v>
      </c>
      <c r="U60" s="517">
        <f>IF(Summary_Services!Z60=0,0,Summary_TG!R63/Summary_Services!Z60)</f>
        <v>0</v>
      </c>
      <c r="V60" s="517">
        <f>IF(Summary_Services!AA60=0,0,Summary_TG!S63/Summary_Services!AA60)</f>
        <v>0</v>
      </c>
      <c r="W60" s="517">
        <f>IF(Summary_Services!AB60=0,0,Summary_TG!T63/Summary_Services!AB60)</f>
        <v>0</v>
      </c>
      <c r="X60" s="517">
        <f>IF(Summary_Services!AC60=0,0,Summary_TG!U63/Summary_Services!AC60)</f>
        <v>0</v>
      </c>
      <c r="Y60" s="517">
        <f>IF(Summary_Services!AD60=0,0,Summary_TG!V63/Summary_Services!AD60)</f>
        <v>0</v>
      </c>
      <c r="Z60" s="517"/>
      <c r="AA60" s="517">
        <f>Summary_Services!R60</f>
        <v>0</v>
      </c>
      <c r="AB60" s="517">
        <f>Summary_Services!S60</f>
        <v>0</v>
      </c>
      <c r="AC60" s="517">
        <f>Summary_Services!T60</f>
        <v>0</v>
      </c>
      <c r="AD60" s="517">
        <f>Summary_Services!U60</f>
        <v>0</v>
      </c>
      <c r="AE60" s="517">
        <f>Summary_Services!V60</f>
        <v>0</v>
      </c>
      <c r="AF60" s="517">
        <f>Summary_Services!W60</f>
        <v>0</v>
      </c>
      <c r="AG60" s="517"/>
      <c r="AH60" s="517">
        <f t="shared" si="10"/>
        <v>0</v>
      </c>
      <c r="AI60" s="517">
        <f t="shared" si="11"/>
        <v>0</v>
      </c>
      <c r="AJ60" s="517">
        <f t="shared" si="12"/>
        <v>0</v>
      </c>
      <c r="AK60" s="517">
        <f t="shared" si="13"/>
        <v>0</v>
      </c>
      <c r="AL60" s="517">
        <f t="shared" si="14"/>
        <v>0</v>
      </c>
      <c r="AM60" s="517">
        <f t="shared" si="15"/>
        <v>0</v>
      </c>
      <c r="AN60" s="517"/>
      <c r="AO60" s="517">
        <f t="shared" si="16"/>
        <v>0</v>
      </c>
      <c r="AP60" s="517">
        <f t="shared" si="17"/>
        <v>0</v>
      </c>
      <c r="AQ60" s="517">
        <f t="shared" si="18"/>
        <v>0</v>
      </c>
      <c r="AR60" s="517">
        <f t="shared" si="19"/>
        <v>0</v>
      </c>
      <c r="AS60" s="517">
        <f t="shared" si="20"/>
        <v>0</v>
      </c>
      <c r="AT60" s="517">
        <f t="shared" si="21"/>
        <v>0</v>
      </c>
      <c r="AU60" s="517"/>
      <c r="AV60" s="517">
        <f t="shared" si="22"/>
        <v>0</v>
      </c>
      <c r="AW60" s="517">
        <f t="shared" si="23"/>
        <v>0</v>
      </c>
      <c r="AX60" s="517">
        <f t="shared" si="24"/>
        <v>0</v>
      </c>
      <c r="AY60" s="517">
        <f t="shared" si="25"/>
        <v>0</v>
      </c>
      <c r="AZ60" s="517">
        <f t="shared" si="26"/>
        <v>0</v>
      </c>
      <c r="BA60" s="517">
        <f t="shared" si="27"/>
        <v>0</v>
      </c>
      <c r="BB60" s="517"/>
      <c r="BC60" s="517" t="e">
        <f>+AH60/Demography!C$10</f>
        <v>#DIV/0!</v>
      </c>
      <c r="BD60" s="517" t="e">
        <f>+AI60/Demography!D$10</f>
        <v>#DIV/0!</v>
      </c>
      <c r="BE60" s="517" t="e">
        <f>+AJ60/Demography!E$10</f>
        <v>#DIV/0!</v>
      </c>
      <c r="BF60" s="517" t="e">
        <f>+AK60/Demography!F$10</f>
        <v>#DIV/0!</v>
      </c>
      <c r="BG60" s="517" t="e">
        <f>+AL60/Demography!G$10</f>
        <v>#DIV/0!</v>
      </c>
      <c r="BH60" s="517" t="e">
        <f>+AM60/Demography!H$10</f>
        <v>#DIV/0!</v>
      </c>
    </row>
    <row r="61" spans="1:60">
      <c r="A61" s="578">
        <v>56</v>
      </c>
      <c r="B61" s="4">
        <f>Summary_TG!B64</f>
        <v>0</v>
      </c>
      <c r="C61" s="4">
        <f>Summary_TG!C64</f>
        <v>0</v>
      </c>
      <c r="D61">
        <f>Summary_Services!E61</f>
        <v>0</v>
      </c>
      <c r="E61">
        <f>Summary_TG!G64</f>
        <v>0</v>
      </c>
      <c r="F61" s="517">
        <f t="shared" si="4"/>
        <v>0</v>
      </c>
      <c r="G61" s="517">
        <f t="shared" si="5"/>
        <v>0</v>
      </c>
      <c r="H61" s="517">
        <f t="shared" si="6"/>
        <v>0</v>
      </c>
      <c r="I61" s="517">
        <f t="shared" si="7"/>
        <v>0</v>
      </c>
      <c r="J61" s="517">
        <f t="shared" si="8"/>
        <v>0</v>
      </c>
      <c r="K61" s="517">
        <f t="shared" si="9"/>
        <v>0</v>
      </c>
      <c r="L61" s="517"/>
      <c r="M61" s="517">
        <f>IF($B61=0,0,(((VLOOKUP(Summary_Services!$F61,lookup_salaries,8,FALSE))*$E61)))</f>
        <v>0</v>
      </c>
      <c r="N61" s="517">
        <f>IF($B61=0,0,(((VLOOKUP(Summary_Services!$F61,lookup_salaries,8,FALSE))*$E61)))</f>
        <v>0</v>
      </c>
      <c r="O61" s="517">
        <f>IF($B61=0,0,(((VLOOKUP(Summary_Services!$F61,lookup_salaries,8,FALSE))*$E61)))</f>
        <v>0</v>
      </c>
      <c r="P61" s="517">
        <f>IF($B61=0,0,(((VLOOKUP(Summary_Services!$F61,lookup_salaries,8,FALSE))*$E61)))</f>
        <v>0</v>
      </c>
      <c r="Q61" s="517">
        <f>IF($B61=0,0,(((VLOOKUP(Summary_Services!$F61,lookup_salaries,8,FALSE))*$E61)))</f>
        <v>0</v>
      </c>
      <c r="R61" s="517">
        <f>IF($B61=0,0,(((VLOOKUP(Summary_Services!$F61,lookup_salaries,8,FALSE))*$E61)))</f>
        <v>0</v>
      </c>
      <c r="S61" s="517"/>
      <c r="T61" s="517">
        <f>IF(Summary_Services!Y61=0,0,Summary_TG!Q64/Summary_Services!Y61)</f>
        <v>0</v>
      </c>
      <c r="U61" s="517">
        <f>IF(Summary_Services!Z61=0,0,Summary_TG!R64/Summary_Services!Z61)</f>
        <v>0</v>
      </c>
      <c r="V61" s="517">
        <f>IF(Summary_Services!AA61=0,0,Summary_TG!S64/Summary_Services!AA61)</f>
        <v>0</v>
      </c>
      <c r="W61" s="517">
        <f>IF(Summary_Services!AB61=0,0,Summary_TG!T64/Summary_Services!AB61)</f>
        <v>0</v>
      </c>
      <c r="X61" s="517">
        <f>IF(Summary_Services!AC61=0,0,Summary_TG!U64/Summary_Services!AC61)</f>
        <v>0</v>
      </c>
      <c r="Y61" s="517">
        <f>IF(Summary_Services!AD61=0,0,Summary_TG!V64/Summary_Services!AD61)</f>
        <v>0</v>
      </c>
      <c r="Z61" s="517"/>
      <c r="AA61" s="517">
        <f>Summary_Services!R61</f>
        <v>0</v>
      </c>
      <c r="AB61" s="517">
        <f>Summary_Services!S61</f>
        <v>0</v>
      </c>
      <c r="AC61" s="517">
        <f>Summary_Services!T61</f>
        <v>0</v>
      </c>
      <c r="AD61" s="517">
        <f>Summary_Services!U61</f>
        <v>0</v>
      </c>
      <c r="AE61" s="517">
        <f>Summary_Services!V61</f>
        <v>0</v>
      </c>
      <c r="AF61" s="517">
        <f>Summary_Services!W61</f>
        <v>0</v>
      </c>
      <c r="AG61" s="517"/>
      <c r="AH61" s="517">
        <f t="shared" si="10"/>
        <v>0</v>
      </c>
      <c r="AI61" s="517">
        <f t="shared" si="11"/>
        <v>0</v>
      </c>
      <c r="AJ61" s="517">
        <f t="shared" si="12"/>
        <v>0</v>
      </c>
      <c r="AK61" s="517">
        <f t="shared" si="13"/>
        <v>0</v>
      </c>
      <c r="AL61" s="517">
        <f t="shared" si="14"/>
        <v>0</v>
      </c>
      <c r="AM61" s="517">
        <f t="shared" si="15"/>
        <v>0</v>
      </c>
      <c r="AN61" s="517"/>
      <c r="AO61" s="517">
        <f t="shared" si="16"/>
        <v>0</v>
      </c>
      <c r="AP61" s="517">
        <f t="shared" si="17"/>
        <v>0</v>
      </c>
      <c r="AQ61" s="517">
        <f t="shared" si="18"/>
        <v>0</v>
      </c>
      <c r="AR61" s="517">
        <f t="shared" si="19"/>
        <v>0</v>
      </c>
      <c r="AS61" s="517">
        <f t="shared" si="20"/>
        <v>0</v>
      </c>
      <c r="AT61" s="517">
        <f t="shared" si="21"/>
        <v>0</v>
      </c>
      <c r="AU61" s="517"/>
      <c r="AV61" s="517">
        <f t="shared" si="22"/>
        <v>0</v>
      </c>
      <c r="AW61" s="517">
        <f t="shared" si="23"/>
        <v>0</v>
      </c>
      <c r="AX61" s="517">
        <f t="shared" si="24"/>
        <v>0</v>
      </c>
      <c r="AY61" s="517">
        <f t="shared" si="25"/>
        <v>0</v>
      </c>
      <c r="AZ61" s="517">
        <f t="shared" si="26"/>
        <v>0</v>
      </c>
      <c r="BA61" s="517">
        <f t="shared" si="27"/>
        <v>0</v>
      </c>
      <c r="BB61" s="517"/>
      <c r="BC61" s="517" t="e">
        <f>+AH61/Demography!C$10</f>
        <v>#DIV/0!</v>
      </c>
      <c r="BD61" s="517" t="e">
        <f>+AI61/Demography!D$10</f>
        <v>#DIV/0!</v>
      </c>
      <c r="BE61" s="517" t="e">
        <f>+AJ61/Demography!E$10</f>
        <v>#DIV/0!</v>
      </c>
      <c r="BF61" s="517" t="e">
        <f>+AK61/Demography!F$10</f>
        <v>#DIV/0!</v>
      </c>
      <c r="BG61" s="517" t="e">
        <f>+AL61/Demography!G$10</f>
        <v>#DIV/0!</v>
      </c>
      <c r="BH61" s="517" t="e">
        <f>+AM61/Demography!H$10</f>
        <v>#DIV/0!</v>
      </c>
    </row>
    <row r="62" spans="1:60">
      <c r="A62" s="578">
        <v>57</v>
      </c>
      <c r="B62" s="4">
        <f>Summary_TG!B65</f>
        <v>0</v>
      </c>
      <c r="C62" s="4">
        <f>Summary_TG!C65</f>
        <v>0</v>
      </c>
      <c r="D62">
        <f>Summary_Services!E62</f>
        <v>0</v>
      </c>
      <c r="E62">
        <f>Summary_TG!G65</f>
        <v>0</v>
      </c>
      <c r="F62" s="517">
        <f t="shared" si="4"/>
        <v>0</v>
      </c>
      <c r="G62" s="517">
        <f t="shared" si="5"/>
        <v>0</v>
      </c>
      <c r="H62" s="517">
        <f t="shared" si="6"/>
        <v>0</v>
      </c>
      <c r="I62" s="517">
        <f t="shared" si="7"/>
        <v>0</v>
      </c>
      <c r="J62" s="517">
        <f t="shared" si="8"/>
        <v>0</v>
      </c>
      <c r="K62" s="517">
        <f t="shared" si="9"/>
        <v>0</v>
      </c>
      <c r="L62" s="517"/>
      <c r="M62" s="517">
        <f>IF($B62=0,0,(((VLOOKUP(Summary_Services!$F62,lookup_salaries,8,FALSE))*$E62)))</f>
        <v>0</v>
      </c>
      <c r="N62" s="517">
        <f>IF($B62=0,0,(((VLOOKUP(Summary_Services!$F62,lookup_salaries,8,FALSE))*$E62)))</f>
        <v>0</v>
      </c>
      <c r="O62" s="517">
        <f>IF($B62=0,0,(((VLOOKUP(Summary_Services!$F62,lookup_salaries,8,FALSE))*$E62)))</f>
        <v>0</v>
      </c>
      <c r="P62" s="517">
        <f>IF($B62=0,0,(((VLOOKUP(Summary_Services!$F62,lookup_salaries,8,FALSE))*$E62)))</f>
        <v>0</v>
      </c>
      <c r="Q62" s="517">
        <f>IF($B62=0,0,(((VLOOKUP(Summary_Services!$F62,lookup_salaries,8,FALSE))*$E62)))</f>
        <v>0</v>
      </c>
      <c r="R62" s="517">
        <f>IF($B62=0,0,(((VLOOKUP(Summary_Services!$F62,lookup_salaries,8,FALSE))*$E62)))</f>
        <v>0</v>
      </c>
      <c r="S62" s="517"/>
      <c r="T62" s="517">
        <f>IF(Summary_Services!Y62=0,0,Summary_TG!Q65/Summary_Services!Y62)</f>
        <v>0</v>
      </c>
      <c r="U62" s="517">
        <f>IF(Summary_Services!Z62=0,0,Summary_TG!R65/Summary_Services!Z62)</f>
        <v>0</v>
      </c>
      <c r="V62" s="517">
        <f>IF(Summary_Services!AA62=0,0,Summary_TG!S65/Summary_Services!AA62)</f>
        <v>0</v>
      </c>
      <c r="W62" s="517">
        <f>IF(Summary_Services!AB62=0,0,Summary_TG!T65/Summary_Services!AB62)</f>
        <v>0</v>
      </c>
      <c r="X62" s="517">
        <f>IF(Summary_Services!AC62=0,0,Summary_TG!U65/Summary_Services!AC62)</f>
        <v>0</v>
      </c>
      <c r="Y62" s="517">
        <f>IF(Summary_Services!AD62=0,0,Summary_TG!V65/Summary_Services!AD62)</f>
        <v>0</v>
      </c>
      <c r="Z62" s="517"/>
      <c r="AA62" s="517">
        <f>Summary_Services!R62</f>
        <v>0</v>
      </c>
      <c r="AB62" s="517">
        <f>Summary_Services!S62</f>
        <v>0</v>
      </c>
      <c r="AC62" s="517">
        <f>Summary_Services!T62</f>
        <v>0</v>
      </c>
      <c r="AD62" s="517">
        <f>Summary_Services!U62</f>
        <v>0</v>
      </c>
      <c r="AE62" s="517">
        <f>Summary_Services!V62</f>
        <v>0</v>
      </c>
      <c r="AF62" s="517">
        <f>Summary_Services!W62</f>
        <v>0</v>
      </c>
      <c r="AG62" s="517"/>
      <c r="AH62" s="517">
        <f t="shared" si="10"/>
        <v>0</v>
      </c>
      <c r="AI62" s="517">
        <f t="shared" si="11"/>
        <v>0</v>
      </c>
      <c r="AJ62" s="517">
        <f t="shared" si="12"/>
        <v>0</v>
      </c>
      <c r="AK62" s="517">
        <f t="shared" si="13"/>
        <v>0</v>
      </c>
      <c r="AL62" s="517">
        <f t="shared" si="14"/>
        <v>0</v>
      </c>
      <c r="AM62" s="517">
        <f t="shared" si="15"/>
        <v>0</v>
      </c>
      <c r="AN62" s="517"/>
      <c r="AO62" s="517">
        <f t="shared" si="16"/>
        <v>0</v>
      </c>
      <c r="AP62" s="517">
        <f t="shared" si="17"/>
        <v>0</v>
      </c>
      <c r="AQ62" s="517">
        <f t="shared" si="18"/>
        <v>0</v>
      </c>
      <c r="AR62" s="517">
        <f t="shared" si="19"/>
        <v>0</v>
      </c>
      <c r="AS62" s="517">
        <f t="shared" si="20"/>
        <v>0</v>
      </c>
      <c r="AT62" s="517">
        <f t="shared" si="21"/>
        <v>0</v>
      </c>
      <c r="AU62" s="517"/>
      <c r="AV62" s="517">
        <f t="shared" si="22"/>
        <v>0</v>
      </c>
      <c r="AW62" s="517">
        <f t="shared" si="23"/>
        <v>0</v>
      </c>
      <c r="AX62" s="517">
        <f t="shared" si="24"/>
        <v>0</v>
      </c>
      <c r="AY62" s="517">
        <f t="shared" si="25"/>
        <v>0</v>
      </c>
      <c r="AZ62" s="517">
        <f t="shared" si="26"/>
        <v>0</v>
      </c>
      <c r="BA62" s="517">
        <f t="shared" si="27"/>
        <v>0</v>
      </c>
      <c r="BB62" s="517"/>
      <c r="BC62" s="517" t="e">
        <f>+AH62/Demography!C$10</f>
        <v>#DIV/0!</v>
      </c>
      <c r="BD62" s="517" t="e">
        <f>+AI62/Demography!D$10</f>
        <v>#DIV/0!</v>
      </c>
      <c r="BE62" s="517" t="e">
        <f>+AJ62/Demography!E$10</f>
        <v>#DIV/0!</v>
      </c>
      <c r="BF62" s="517" t="e">
        <f>+AK62/Demography!F$10</f>
        <v>#DIV/0!</v>
      </c>
      <c r="BG62" s="517" t="e">
        <f>+AL62/Demography!G$10</f>
        <v>#DIV/0!</v>
      </c>
      <c r="BH62" s="517" t="e">
        <f>+AM62/Demography!H$10</f>
        <v>#DIV/0!</v>
      </c>
    </row>
    <row r="63" spans="1:60">
      <c r="A63" s="578">
        <v>58</v>
      </c>
      <c r="B63" s="4">
        <f>Summary_TG!B66</f>
        <v>0</v>
      </c>
      <c r="C63" s="4">
        <f>Summary_TG!C66</f>
        <v>0</v>
      </c>
      <c r="D63">
        <f>Summary_Services!E63</f>
        <v>0</v>
      </c>
      <c r="E63">
        <f>Summary_TG!G66</f>
        <v>0</v>
      </c>
      <c r="F63" s="517">
        <f t="shared" si="4"/>
        <v>0</v>
      </c>
      <c r="G63" s="517">
        <f t="shared" si="5"/>
        <v>0</v>
      </c>
      <c r="H63" s="517">
        <f t="shared" si="6"/>
        <v>0</v>
      </c>
      <c r="I63" s="517">
        <f t="shared" si="7"/>
        <v>0</v>
      </c>
      <c r="J63" s="517">
        <f t="shared" si="8"/>
        <v>0</v>
      </c>
      <c r="K63" s="517">
        <f t="shared" si="9"/>
        <v>0</v>
      </c>
      <c r="L63" s="517"/>
      <c r="M63" s="517">
        <f>IF($B63=0,0,(((VLOOKUP(Summary_Services!$F63,lookup_salaries,8,FALSE))*$E63)))</f>
        <v>0</v>
      </c>
      <c r="N63" s="517">
        <f>IF($B63=0,0,(((VLOOKUP(Summary_Services!$F63,lookup_salaries,8,FALSE))*$E63)))</f>
        <v>0</v>
      </c>
      <c r="O63" s="517">
        <f>IF($B63=0,0,(((VLOOKUP(Summary_Services!$F63,lookup_salaries,8,FALSE))*$E63)))</f>
        <v>0</v>
      </c>
      <c r="P63" s="517">
        <f>IF($B63=0,0,(((VLOOKUP(Summary_Services!$F63,lookup_salaries,8,FALSE))*$E63)))</f>
        <v>0</v>
      </c>
      <c r="Q63" s="517">
        <f>IF($B63=0,0,(((VLOOKUP(Summary_Services!$F63,lookup_salaries,8,FALSE))*$E63)))</f>
        <v>0</v>
      </c>
      <c r="R63" s="517">
        <f>IF($B63=0,0,(((VLOOKUP(Summary_Services!$F63,lookup_salaries,8,FALSE))*$E63)))</f>
        <v>0</v>
      </c>
      <c r="S63" s="517"/>
      <c r="T63" s="517">
        <f>IF(Summary_Services!Y63=0,0,Summary_TG!Q66/Summary_Services!Y63)</f>
        <v>0</v>
      </c>
      <c r="U63" s="517">
        <f>IF(Summary_Services!Z63=0,0,Summary_TG!R66/Summary_Services!Z63)</f>
        <v>0</v>
      </c>
      <c r="V63" s="517">
        <f>IF(Summary_Services!AA63=0,0,Summary_TG!S66/Summary_Services!AA63)</f>
        <v>0</v>
      </c>
      <c r="W63" s="517">
        <f>IF(Summary_Services!AB63=0,0,Summary_TG!T66/Summary_Services!AB63)</f>
        <v>0</v>
      </c>
      <c r="X63" s="517">
        <f>IF(Summary_Services!AC63=0,0,Summary_TG!U66/Summary_Services!AC63)</f>
        <v>0</v>
      </c>
      <c r="Y63" s="517">
        <f>IF(Summary_Services!AD63=0,0,Summary_TG!V66/Summary_Services!AD63)</f>
        <v>0</v>
      </c>
      <c r="Z63" s="517"/>
      <c r="AA63" s="517">
        <f>Summary_Services!R63</f>
        <v>0</v>
      </c>
      <c r="AB63" s="517">
        <f>Summary_Services!S63</f>
        <v>0</v>
      </c>
      <c r="AC63" s="517">
        <f>Summary_Services!T63</f>
        <v>0</v>
      </c>
      <c r="AD63" s="517">
        <f>Summary_Services!U63</f>
        <v>0</v>
      </c>
      <c r="AE63" s="517">
        <f>Summary_Services!V63</f>
        <v>0</v>
      </c>
      <c r="AF63" s="517">
        <f>Summary_Services!W63</f>
        <v>0</v>
      </c>
      <c r="AG63" s="517"/>
      <c r="AH63" s="517">
        <f t="shared" si="10"/>
        <v>0</v>
      </c>
      <c r="AI63" s="517">
        <f t="shared" si="11"/>
        <v>0</v>
      </c>
      <c r="AJ63" s="517">
        <f t="shared" si="12"/>
        <v>0</v>
      </c>
      <c r="AK63" s="517">
        <f t="shared" si="13"/>
        <v>0</v>
      </c>
      <c r="AL63" s="517">
        <f t="shared" si="14"/>
        <v>0</v>
      </c>
      <c r="AM63" s="517">
        <f t="shared" si="15"/>
        <v>0</v>
      </c>
      <c r="AN63" s="517"/>
      <c r="AO63" s="517">
        <f t="shared" si="16"/>
        <v>0</v>
      </c>
      <c r="AP63" s="517">
        <f t="shared" si="17"/>
        <v>0</v>
      </c>
      <c r="AQ63" s="517">
        <f t="shared" si="18"/>
        <v>0</v>
      </c>
      <c r="AR63" s="517">
        <f t="shared" si="19"/>
        <v>0</v>
      </c>
      <c r="AS63" s="517">
        <f t="shared" si="20"/>
        <v>0</v>
      </c>
      <c r="AT63" s="517">
        <f t="shared" si="21"/>
        <v>0</v>
      </c>
      <c r="AU63" s="517"/>
      <c r="AV63" s="517">
        <f t="shared" si="22"/>
        <v>0</v>
      </c>
      <c r="AW63" s="517">
        <f t="shared" si="23"/>
        <v>0</v>
      </c>
      <c r="AX63" s="517">
        <f t="shared" si="24"/>
        <v>0</v>
      </c>
      <c r="AY63" s="517">
        <f t="shared" si="25"/>
        <v>0</v>
      </c>
      <c r="AZ63" s="517">
        <f t="shared" si="26"/>
        <v>0</v>
      </c>
      <c r="BA63" s="517">
        <f t="shared" si="27"/>
        <v>0</v>
      </c>
      <c r="BB63" s="517"/>
      <c r="BC63" s="517" t="e">
        <f>+AH63/Demography!C$10</f>
        <v>#DIV/0!</v>
      </c>
      <c r="BD63" s="517" t="e">
        <f>+AI63/Demography!D$10</f>
        <v>#DIV/0!</v>
      </c>
      <c r="BE63" s="517" t="e">
        <f>+AJ63/Demography!E$10</f>
        <v>#DIV/0!</v>
      </c>
      <c r="BF63" s="517" t="e">
        <f>+AK63/Demography!F$10</f>
        <v>#DIV/0!</v>
      </c>
      <c r="BG63" s="517" t="e">
        <f>+AL63/Demography!G$10</f>
        <v>#DIV/0!</v>
      </c>
      <c r="BH63" s="517" t="e">
        <f>+AM63/Demography!H$10</f>
        <v>#DIV/0!</v>
      </c>
    </row>
    <row r="64" spans="1:60">
      <c r="A64" s="578">
        <v>59</v>
      </c>
      <c r="B64" s="4">
        <f>Summary_TG!B67</f>
        <v>0</v>
      </c>
      <c r="C64" s="4">
        <f>Summary_TG!C67</f>
        <v>0</v>
      </c>
      <c r="D64">
        <f>Summary_Services!E64</f>
        <v>0</v>
      </c>
      <c r="E64">
        <f>Summary_TG!G67</f>
        <v>0</v>
      </c>
      <c r="F64" s="517">
        <f t="shared" si="4"/>
        <v>0</v>
      </c>
      <c r="G64" s="517">
        <f t="shared" si="5"/>
        <v>0</v>
      </c>
      <c r="H64" s="517">
        <f t="shared" si="6"/>
        <v>0</v>
      </c>
      <c r="I64" s="517">
        <f t="shared" si="7"/>
        <v>0</v>
      </c>
      <c r="J64" s="517">
        <f t="shared" si="8"/>
        <v>0</v>
      </c>
      <c r="K64" s="517">
        <f t="shared" si="9"/>
        <v>0</v>
      </c>
      <c r="L64" s="517"/>
      <c r="M64" s="517">
        <f>IF($B64=0,0,(((VLOOKUP(Summary_Services!$F64,lookup_salaries,8,FALSE))*$E64)))</f>
        <v>0</v>
      </c>
      <c r="N64" s="517">
        <f>IF($B64=0,0,(((VLOOKUP(Summary_Services!$F64,lookup_salaries,8,FALSE))*$E64)))</f>
        <v>0</v>
      </c>
      <c r="O64" s="517">
        <f>IF($B64=0,0,(((VLOOKUP(Summary_Services!$F64,lookup_salaries,8,FALSE))*$E64)))</f>
        <v>0</v>
      </c>
      <c r="P64" s="517">
        <f>IF($B64=0,0,(((VLOOKUP(Summary_Services!$F64,lookup_salaries,8,FALSE))*$E64)))</f>
        <v>0</v>
      </c>
      <c r="Q64" s="517">
        <f>IF($B64=0,0,(((VLOOKUP(Summary_Services!$F64,lookup_salaries,8,FALSE))*$E64)))</f>
        <v>0</v>
      </c>
      <c r="R64" s="517">
        <f>IF($B64=0,0,(((VLOOKUP(Summary_Services!$F64,lookup_salaries,8,FALSE))*$E64)))</f>
        <v>0</v>
      </c>
      <c r="S64" s="517"/>
      <c r="T64" s="517">
        <f>IF(Summary_Services!Y64=0,0,Summary_TG!Q67/Summary_Services!Y64)</f>
        <v>0</v>
      </c>
      <c r="U64" s="517">
        <f>IF(Summary_Services!Z64=0,0,Summary_TG!R67/Summary_Services!Z64)</f>
        <v>0</v>
      </c>
      <c r="V64" s="517">
        <f>IF(Summary_Services!AA64=0,0,Summary_TG!S67/Summary_Services!AA64)</f>
        <v>0</v>
      </c>
      <c r="W64" s="517">
        <f>IF(Summary_Services!AB64=0,0,Summary_TG!T67/Summary_Services!AB64)</f>
        <v>0</v>
      </c>
      <c r="X64" s="517">
        <f>IF(Summary_Services!AC64=0,0,Summary_TG!U67/Summary_Services!AC64)</f>
        <v>0</v>
      </c>
      <c r="Y64" s="517">
        <f>IF(Summary_Services!AD64=0,0,Summary_TG!V67/Summary_Services!AD64)</f>
        <v>0</v>
      </c>
      <c r="Z64" s="517"/>
      <c r="AA64" s="517">
        <f>Summary_Services!R64</f>
        <v>0</v>
      </c>
      <c r="AB64" s="517">
        <f>Summary_Services!S64</f>
        <v>0</v>
      </c>
      <c r="AC64" s="517">
        <f>Summary_Services!T64</f>
        <v>0</v>
      </c>
      <c r="AD64" s="517">
        <f>Summary_Services!U64</f>
        <v>0</v>
      </c>
      <c r="AE64" s="517">
        <f>Summary_Services!V64</f>
        <v>0</v>
      </c>
      <c r="AF64" s="517">
        <f>Summary_Services!W64</f>
        <v>0</v>
      </c>
      <c r="AG64" s="517"/>
      <c r="AH64" s="517">
        <f t="shared" si="10"/>
        <v>0</v>
      </c>
      <c r="AI64" s="517">
        <f t="shared" si="11"/>
        <v>0</v>
      </c>
      <c r="AJ64" s="517">
        <f t="shared" si="12"/>
        <v>0</v>
      </c>
      <c r="AK64" s="517">
        <f t="shared" si="13"/>
        <v>0</v>
      </c>
      <c r="AL64" s="517">
        <f t="shared" si="14"/>
        <v>0</v>
      </c>
      <c r="AM64" s="517">
        <f t="shared" si="15"/>
        <v>0</v>
      </c>
      <c r="AN64" s="517"/>
      <c r="AO64" s="517">
        <f t="shared" si="16"/>
        <v>0</v>
      </c>
      <c r="AP64" s="517">
        <f t="shared" si="17"/>
        <v>0</v>
      </c>
      <c r="AQ64" s="517">
        <f t="shared" si="18"/>
        <v>0</v>
      </c>
      <c r="AR64" s="517">
        <f t="shared" si="19"/>
        <v>0</v>
      </c>
      <c r="AS64" s="517">
        <f t="shared" si="20"/>
        <v>0</v>
      </c>
      <c r="AT64" s="517">
        <f t="shared" si="21"/>
        <v>0</v>
      </c>
      <c r="AU64" s="517"/>
      <c r="AV64" s="517">
        <f t="shared" si="22"/>
        <v>0</v>
      </c>
      <c r="AW64" s="517">
        <f t="shared" si="23"/>
        <v>0</v>
      </c>
      <c r="AX64" s="517">
        <f t="shared" si="24"/>
        <v>0</v>
      </c>
      <c r="AY64" s="517">
        <f t="shared" si="25"/>
        <v>0</v>
      </c>
      <c r="AZ64" s="517">
        <f t="shared" si="26"/>
        <v>0</v>
      </c>
      <c r="BA64" s="517">
        <f t="shared" si="27"/>
        <v>0</v>
      </c>
      <c r="BB64" s="517"/>
      <c r="BC64" s="517" t="e">
        <f>+AH64/Demography!C$10</f>
        <v>#DIV/0!</v>
      </c>
      <c r="BD64" s="517" t="e">
        <f>+AI64/Demography!D$10</f>
        <v>#DIV/0!</v>
      </c>
      <c r="BE64" s="517" t="e">
        <f>+AJ64/Demography!E$10</f>
        <v>#DIV/0!</v>
      </c>
      <c r="BF64" s="517" t="e">
        <f>+AK64/Demography!F$10</f>
        <v>#DIV/0!</v>
      </c>
      <c r="BG64" s="517" t="e">
        <f>+AL64/Demography!G$10</f>
        <v>#DIV/0!</v>
      </c>
      <c r="BH64" s="517" t="e">
        <f>+AM64/Demography!H$10</f>
        <v>#DIV/0!</v>
      </c>
    </row>
    <row r="65" spans="1:60">
      <c r="A65" s="578">
        <v>60</v>
      </c>
      <c r="B65" s="4">
        <f>Summary_TG!B68</f>
        <v>0</v>
      </c>
      <c r="C65" s="4">
        <f>Summary_TG!C68</f>
        <v>0</v>
      </c>
      <c r="D65">
        <f>Summary_Services!E65</f>
        <v>0</v>
      </c>
      <c r="E65">
        <f>Summary_TG!G68</f>
        <v>0</v>
      </c>
      <c r="F65" s="517">
        <f t="shared" si="4"/>
        <v>0</v>
      </c>
      <c r="G65" s="517">
        <f t="shared" si="5"/>
        <v>0</v>
      </c>
      <c r="H65" s="517">
        <f t="shared" si="6"/>
        <v>0</v>
      </c>
      <c r="I65" s="517">
        <f t="shared" si="7"/>
        <v>0</v>
      </c>
      <c r="J65" s="517">
        <f t="shared" si="8"/>
        <v>0</v>
      </c>
      <c r="K65" s="517">
        <f t="shared" si="9"/>
        <v>0</v>
      </c>
      <c r="L65" s="517"/>
      <c r="M65" s="517">
        <f>IF($B65=0,0,(((VLOOKUP(Summary_Services!$F65,lookup_salaries,8,FALSE))*$E65)))</f>
        <v>0</v>
      </c>
      <c r="N65" s="517">
        <f>IF($B65=0,0,(((VLOOKUP(Summary_Services!$F65,lookup_salaries,8,FALSE))*$E65)))</f>
        <v>0</v>
      </c>
      <c r="O65" s="517">
        <f>IF($B65=0,0,(((VLOOKUP(Summary_Services!$F65,lookup_salaries,8,FALSE))*$E65)))</f>
        <v>0</v>
      </c>
      <c r="P65" s="517">
        <f>IF($B65=0,0,(((VLOOKUP(Summary_Services!$F65,lookup_salaries,8,FALSE))*$E65)))</f>
        <v>0</v>
      </c>
      <c r="Q65" s="517">
        <f>IF($B65=0,0,(((VLOOKUP(Summary_Services!$F65,lookup_salaries,8,FALSE))*$E65)))</f>
        <v>0</v>
      </c>
      <c r="R65" s="517">
        <f>IF($B65=0,0,(((VLOOKUP(Summary_Services!$F65,lookup_salaries,8,FALSE))*$E65)))</f>
        <v>0</v>
      </c>
      <c r="S65" s="517"/>
      <c r="T65" s="517">
        <f>IF(Summary_Services!Y65=0,0,Summary_TG!Q68/Summary_Services!Y65)</f>
        <v>0</v>
      </c>
      <c r="U65" s="517">
        <f>IF(Summary_Services!Z65=0,0,Summary_TG!R68/Summary_Services!Z65)</f>
        <v>0</v>
      </c>
      <c r="V65" s="517">
        <f>IF(Summary_Services!AA65=0,0,Summary_TG!S68/Summary_Services!AA65)</f>
        <v>0</v>
      </c>
      <c r="W65" s="517">
        <f>IF(Summary_Services!AB65=0,0,Summary_TG!T68/Summary_Services!AB65)</f>
        <v>0</v>
      </c>
      <c r="X65" s="517">
        <f>IF(Summary_Services!AC65=0,0,Summary_TG!U68/Summary_Services!AC65)</f>
        <v>0</v>
      </c>
      <c r="Y65" s="517">
        <f>IF(Summary_Services!AD65=0,0,Summary_TG!V68/Summary_Services!AD65)</f>
        <v>0</v>
      </c>
      <c r="Z65" s="517"/>
      <c r="AA65" s="517">
        <f>Summary_Services!R65</f>
        <v>0</v>
      </c>
      <c r="AB65" s="517">
        <f>Summary_Services!S65</f>
        <v>0</v>
      </c>
      <c r="AC65" s="517">
        <f>Summary_Services!T65</f>
        <v>0</v>
      </c>
      <c r="AD65" s="517">
        <f>Summary_Services!U65</f>
        <v>0</v>
      </c>
      <c r="AE65" s="517">
        <f>Summary_Services!V65</f>
        <v>0</v>
      </c>
      <c r="AF65" s="517">
        <f>Summary_Services!W65</f>
        <v>0</v>
      </c>
      <c r="AG65" s="517"/>
      <c r="AH65" s="517">
        <f t="shared" si="10"/>
        <v>0</v>
      </c>
      <c r="AI65" s="517">
        <f t="shared" si="11"/>
        <v>0</v>
      </c>
      <c r="AJ65" s="517">
        <f t="shared" si="12"/>
        <v>0</v>
      </c>
      <c r="AK65" s="517">
        <f t="shared" si="13"/>
        <v>0</v>
      </c>
      <c r="AL65" s="517">
        <f t="shared" si="14"/>
        <v>0</v>
      </c>
      <c r="AM65" s="517">
        <f t="shared" si="15"/>
        <v>0</v>
      </c>
      <c r="AN65" s="517"/>
      <c r="AO65" s="517">
        <f t="shared" si="16"/>
        <v>0</v>
      </c>
      <c r="AP65" s="517">
        <f t="shared" si="17"/>
        <v>0</v>
      </c>
      <c r="AQ65" s="517">
        <f t="shared" si="18"/>
        <v>0</v>
      </c>
      <c r="AR65" s="517">
        <f t="shared" si="19"/>
        <v>0</v>
      </c>
      <c r="AS65" s="517">
        <f t="shared" si="20"/>
        <v>0</v>
      </c>
      <c r="AT65" s="517">
        <f t="shared" si="21"/>
        <v>0</v>
      </c>
      <c r="AU65" s="517"/>
      <c r="AV65" s="517">
        <f t="shared" si="22"/>
        <v>0</v>
      </c>
      <c r="AW65" s="517">
        <f t="shared" si="23"/>
        <v>0</v>
      </c>
      <c r="AX65" s="517">
        <f t="shared" si="24"/>
        <v>0</v>
      </c>
      <c r="AY65" s="517">
        <f t="shared" si="25"/>
        <v>0</v>
      </c>
      <c r="AZ65" s="517">
        <f t="shared" si="26"/>
        <v>0</v>
      </c>
      <c r="BA65" s="517">
        <f t="shared" si="27"/>
        <v>0</v>
      </c>
      <c r="BB65" s="517"/>
      <c r="BC65" s="517" t="e">
        <f>+AH65/Demography!C$10</f>
        <v>#DIV/0!</v>
      </c>
      <c r="BD65" s="517" t="e">
        <f>+AI65/Demography!D$10</f>
        <v>#DIV/0!</v>
      </c>
      <c r="BE65" s="517" t="e">
        <f>+AJ65/Demography!E$10</f>
        <v>#DIV/0!</v>
      </c>
      <c r="BF65" s="517" t="e">
        <f>+AK65/Demography!F$10</f>
        <v>#DIV/0!</v>
      </c>
      <c r="BG65" s="517" t="e">
        <f>+AL65/Demography!G$10</f>
        <v>#DIV/0!</v>
      </c>
      <c r="BH65" s="517" t="e">
        <f>+AM65/Demography!H$10</f>
        <v>#DIV/0!</v>
      </c>
    </row>
    <row r="66" spans="1:60">
      <c r="A66" s="578">
        <v>61</v>
      </c>
      <c r="B66" s="4">
        <f>Summary_TG!B69</f>
        <v>0</v>
      </c>
      <c r="C66" s="4">
        <f>Summary_TG!C69</f>
        <v>0</v>
      </c>
      <c r="D66">
        <f>Summary_Services!E66</f>
        <v>0</v>
      </c>
      <c r="E66">
        <f>Summary_TG!G69</f>
        <v>0</v>
      </c>
      <c r="F66" s="517">
        <f t="shared" si="4"/>
        <v>0</v>
      </c>
      <c r="G66" s="517">
        <f t="shared" si="5"/>
        <v>0</v>
      </c>
      <c r="H66" s="517">
        <f t="shared" si="6"/>
        <v>0</v>
      </c>
      <c r="I66" s="517">
        <f t="shared" si="7"/>
        <v>0</v>
      </c>
      <c r="J66" s="517">
        <f t="shared" si="8"/>
        <v>0</v>
      </c>
      <c r="K66" s="517">
        <f t="shared" si="9"/>
        <v>0</v>
      </c>
      <c r="L66" s="517"/>
      <c r="M66" s="517">
        <f>IF($B66=0,0,(((VLOOKUP(Summary_Services!$F66,lookup_salaries,8,FALSE))*$E66)))</f>
        <v>0</v>
      </c>
      <c r="N66" s="517">
        <f>IF($B66=0,0,(((VLOOKUP(Summary_Services!$F66,lookup_salaries,8,FALSE))*$E66)))</f>
        <v>0</v>
      </c>
      <c r="O66" s="517">
        <f>IF($B66=0,0,(((VLOOKUP(Summary_Services!$F66,lookup_salaries,8,FALSE))*$E66)))</f>
        <v>0</v>
      </c>
      <c r="P66" s="517">
        <f>IF($B66=0,0,(((VLOOKUP(Summary_Services!$F66,lookup_salaries,8,FALSE))*$E66)))</f>
        <v>0</v>
      </c>
      <c r="Q66" s="517">
        <f>IF($B66=0,0,(((VLOOKUP(Summary_Services!$F66,lookup_salaries,8,FALSE))*$E66)))</f>
        <v>0</v>
      </c>
      <c r="R66" s="517">
        <f>IF($B66=0,0,(((VLOOKUP(Summary_Services!$F66,lookup_salaries,8,FALSE))*$E66)))</f>
        <v>0</v>
      </c>
      <c r="S66" s="517"/>
      <c r="T66" s="517">
        <f>IF(Summary_Services!Y66=0,0,Summary_TG!Q69/Summary_Services!Y66)</f>
        <v>0</v>
      </c>
      <c r="U66" s="517">
        <f>IF(Summary_Services!Z66=0,0,Summary_TG!R69/Summary_Services!Z66)</f>
        <v>0</v>
      </c>
      <c r="V66" s="517">
        <f>IF(Summary_Services!AA66=0,0,Summary_TG!S69/Summary_Services!AA66)</f>
        <v>0</v>
      </c>
      <c r="W66" s="517">
        <f>IF(Summary_Services!AB66=0,0,Summary_TG!T69/Summary_Services!AB66)</f>
        <v>0</v>
      </c>
      <c r="X66" s="517">
        <f>IF(Summary_Services!AC66=0,0,Summary_TG!U69/Summary_Services!AC66)</f>
        <v>0</v>
      </c>
      <c r="Y66" s="517">
        <f>IF(Summary_Services!AD66=0,0,Summary_TG!V69/Summary_Services!AD66)</f>
        <v>0</v>
      </c>
      <c r="Z66" s="517"/>
      <c r="AA66" s="517">
        <f>Summary_Services!R66</f>
        <v>0</v>
      </c>
      <c r="AB66" s="517">
        <f>Summary_Services!S66</f>
        <v>0</v>
      </c>
      <c r="AC66" s="517">
        <f>Summary_Services!T66</f>
        <v>0</v>
      </c>
      <c r="AD66" s="517">
        <f>Summary_Services!U66</f>
        <v>0</v>
      </c>
      <c r="AE66" s="517">
        <f>Summary_Services!V66</f>
        <v>0</v>
      </c>
      <c r="AF66" s="517">
        <f>Summary_Services!W66</f>
        <v>0</v>
      </c>
      <c r="AG66" s="517"/>
      <c r="AH66" s="517">
        <f t="shared" si="10"/>
        <v>0</v>
      </c>
      <c r="AI66" s="517">
        <f t="shared" si="11"/>
        <v>0</v>
      </c>
      <c r="AJ66" s="517">
        <f t="shared" si="12"/>
        <v>0</v>
      </c>
      <c r="AK66" s="517">
        <f t="shared" si="13"/>
        <v>0</v>
      </c>
      <c r="AL66" s="517">
        <f t="shared" si="14"/>
        <v>0</v>
      </c>
      <c r="AM66" s="517">
        <f t="shared" si="15"/>
        <v>0</v>
      </c>
      <c r="AN66" s="517"/>
      <c r="AO66" s="517">
        <f t="shared" si="16"/>
        <v>0</v>
      </c>
      <c r="AP66" s="517">
        <f t="shared" si="17"/>
        <v>0</v>
      </c>
      <c r="AQ66" s="517">
        <f t="shared" si="18"/>
        <v>0</v>
      </c>
      <c r="AR66" s="517">
        <f t="shared" si="19"/>
        <v>0</v>
      </c>
      <c r="AS66" s="517">
        <f t="shared" si="20"/>
        <v>0</v>
      </c>
      <c r="AT66" s="517">
        <f t="shared" si="21"/>
        <v>0</v>
      </c>
      <c r="AU66" s="517"/>
      <c r="AV66" s="517">
        <f t="shared" si="22"/>
        <v>0</v>
      </c>
      <c r="AW66" s="517">
        <f t="shared" si="23"/>
        <v>0</v>
      </c>
      <c r="AX66" s="517">
        <f t="shared" si="24"/>
        <v>0</v>
      </c>
      <c r="AY66" s="517">
        <f t="shared" si="25"/>
        <v>0</v>
      </c>
      <c r="AZ66" s="517">
        <f t="shared" si="26"/>
        <v>0</v>
      </c>
      <c r="BA66" s="517">
        <f t="shared" si="27"/>
        <v>0</v>
      </c>
      <c r="BB66" s="517"/>
      <c r="BC66" s="517" t="e">
        <f>+AH66/Demography!C$10</f>
        <v>#DIV/0!</v>
      </c>
      <c r="BD66" s="517" t="e">
        <f>+AI66/Demography!D$10</f>
        <v>#DIV/0!</v>
      </c>
      <c r="BE66" s="517" t="e">
        <f>+AJ66/Demography!E$10</f>
        <v>#DIV/0!</v>
      </c>
      <c r="BF66" s="517" t="e">
        <f>+AK66/Demography!F$10</f>
        <v>#DIV/0!</v>
      </c>
      <c r="BG66" s="517" t="e">
        <f>+AL66/Demography!G$10</f>
        <v>#DIV/0!</v>
      </c>
      <c r="BH66" s="517" t="e">
        <f>+AM66/Demography!H$10</f>
        <v>#DIV/0!</v>
      </c>
    </row>
    <row r="67" spans="1:60">
      <c r="A67" s="578">
        <v>62</v>
      </c>
      <c r="B67" s="4">
        <f>Summary_TG!B70</f>
        <v>0</v>
      </c>
      <c r="C67" s="4">
        <f>Summary_TG!C70</f>
        <v>0</v>
      </c>
      <c r="D67">
        <f>Summary_Services!E67</f>
        <v>0</v>
      </c>
      <c r="E67">
        <f>Summary_TG!G70</f>
        <v>0</v>
      </c>
      <c r="F67" s="517">
        <f t="shared" si="4"/>
        <v>0</v>
      </c>
      <c r="G67" s="517">
        <f t="shared" si="5"/>
        <v>0</v>
      </c>
      <c r="H67" s="517">
        <f t="shared" si="6"/>
        <v>0</v>
      </c>
      <c r="I67" s="517">
        <f t="shared" si="7"/>
        <v>0</v>
      </c>
      <c r="J67" s="517">
        <f t="shared" si="8"/>
        <v>0</v>
      </c>
      <c r="K67" s="517">
        <f t="shared" si="9"/>
        <v>0</v>
      </c>
      <c r="L67" s="517"/>
      <c r="M67" s="517">
        <f>IF($B67=0,0,(((VLOOKUP(Summary_Services!$F67,lookup_salaries,8,FALSE))*$E67)))</f>
        <v>0</v>
      </c>
      <c r="N67" s="517">
        <f>IF($B67=0,0,(((VLOOKUP(Summary_Services!$F67,lookup_salaries,8,FALSE))*$E67)))</f>
        <v>0</v>
      </c>
      <c r="O67" s="517">
        <f>IF($B67=0,0,(((VLOOKUP(Summary_Services!$F67,lookup_salaries,8,FALSE))*$E67)))</f>
        <v>0</v>
      </c>
      <c r="P67" s="517">
        <f>IF($B67=0,0,(((VLOOKUP(Summary_Services!$F67,lookup_salaries,8,FALSE))*$E67)))</f>
        <v>0</v>
      </c>
      <c r="Q67" s="517">
        <f>IF($B67=0,0,(((VLOOKUP(Summary_Services!$F67,lookup_salaries,8,FALSE))*$E67)))</f>
        <v>0</v>
      </c>
      <c r="R67" s="517">
        <f>IF($B67=0,0,(((VLOOKUP(Summary_Services!$F67,lookup_salaries,8,FALSE))*$E67)))</f>
        <v>0</v>
      </c>
      <c r="S67" s="517"/>
      <c r="T67" s="517">
        <f>IF(Summary_Services!Y67=0,0,Summary_TG!Q70/Summary_Services!Y67)</f>
        <v>0</v>
      </c>
      <c r="U67" s="517">
        <f>IF(Summary_Services!Z67=0,0,Summary_TG!R70/Summary_Services!Z67)</f>
        <v>0</v>
      </c>
      <c r="V67" s="517">
        <f>IF(Summary_Services!AA67=0,0,Summary_TG!S70/Summary_Services!AA67)</f>
        <v>0</v>
      </c>
      <c r="W67" s="517">
        <f>IF(Summary_Services!AB67=0,0,Summary_TG!T70/Summary_Services!AB67)</f>
        <v>0</v>
      </c>
      <c r="X67" s="517">
        <f>IF(Summary_Services!AC67=0,0,Summary_TG!U70/Summary_Services!AC67)</f>
        <v>0</v>
      </c>
      <c r="Y67" s="517">
        <f>IF(Summary_Services!AD67=0,0,Summary_TG!V70/Summary_Services!AD67)</f>
        <v>0</v>
      </c>
      <c r="Z67" s="517"/>
      <c r="AA67" s="517">
        <f>Summary_Services!R67</f>
        <v>0</v>
      </c>
      <c r="AB67" s="517">
        <f>Summary_Services!S67</f>
        <v>0</v>
      </c>
      <c r="AC67" s="517">
        <f>Summary_Services!T67</f>
        <v>0</v>
      </c>
      <c r="AD67" s="517">
        <f>Summary_Services!U67</f>
        <v>0</v>
      </c>
      <c r="AE67" s="517">
        <f>Summary_Services!V67</f>
        <v>0</v>
      </c>
      <c r="AF67" s="517">
        <f>Summary_Services!W67</f>
        <v>0</v>
      </c>
      <c r="AG67" s="517"/>
      <c r="AH67" s="517">
        <f t="shared" si="10"/>
        <v>0</v>
      </c>
      <c r="AI67" s="517">
        <f t="shared" si="11"/>
        <v>0</v>
      </c>
      <c r="AJ67" s="517">
        <f t="shared" si="12"/>
        <v>0</v>
      </c>
      <c r="AK67" s="517">
        <f t="shared" si="13"/>
        <v>0</v>
      </c>
      <c r="AL67" s="517">
        <f t="shared" si="14"/>
        <v>0</v>
      </c>
      <c r="AM67" s="517">
        <f t="shared" si="15"/>
        <v>0</v>
      </c>
      <c r="AN67" s="517"/>
      <c r="AO67" s="517">
        <f t="shared" si="16"/>
        <v>0</v>
      </c>
      <c r="AP67" s="517">
        <f t="shared" si="17"/>
        <v>0</v>
      </c>
      <c r="AQ67" s="517">
        <f t="shared" si="18"/>
        <v>0</v>
      </c>
      <c r="AR67" s="517">
        <f t="shared" si="19"/>
        <v>0</v>
      </c>
      <c r="AS67" s="517">
        <f t="shared" si="20"/>
        <v>0</v>
      </c>
      <c r="AT67" s="517">
        <f t="shared" si="21"/>
        <v>0</v>
      </c>
      <c r="AU67" s="517"/>
      <c r="AV67" s="517">
        <f t="shared" si="22"/>
        <v>0</v>
      </c>
      <c r="AW67" s="517">
        <f t="shared" si="23"/>
        <v>0</v>
      </c>
      <c r="AX67" s="517">
        <f t="shared" si="24"/>
        <v>0</v>
      </c>
      <c r="AY67" s="517">
        <f t="shared" si="25"/>
        <v>0</v>
      </c>
      <c r="AZ67" s="517">
        <f t="shared" si="26"/>
        <v>0</v>
      </c>
      <c r="BA67" s="517">
        <f t="shared" si="27"/>
        <v>0</v>
      </c>
      <c r="BB67" s="517"/>
      <c r="BC67" s="517" t="e">
        <f>+AH67/Demography!C$10</f>
        <v>#DIV/0!</v>
      </c>
      <c r="BD67" s="517" t="e">
        <f>+AI67/Demography!D$10</f>
        <v>#DIV/0!</v>
      </c>
      <c r="BE67" s="517" t="e">
        <f>+AJ67/Demography!E$10</f>
        <v>#DIV/0!</v>
      </c>
      <c r="BF67" s="517" t="e">
        <f>+AK67/Demography!F$10</f>
        <v>#DIV/0!</v>
      </c>
      <c r="BG67" s="517" t="e">
        <f>+AL67/Demography!G$10</f>
        <v>#DIV/0!</v>
      </c>
      <c r="BH67" s="517" t="e">
        <f>+AM67/Demography!H$10</f>
        <v>#DIV/0!</v>
      </c>
    </row>
    <row r="68" spans="1:60">
      <c r="A68" s="578">
        <v>63</v>
      </c>
      <c r="B68" s="4">
        <f>Summary_TG!B71</f>
        <v>0</v>
      </c>
      <c r="C68" s="4">
        <f>Summary_TG!C71</f>
        <v>0</v>
      </c>
      <c r="D68">
        <f>Summary_Services!E68</f>
        <v>0</v>
      </c>
      <c r="E68">
        <f>Summary_TG!G71</f>
        <v>0</v>
      </c>
      <c r="F68" s="517">
        <f t="shared" si="4"/>
        <v>0</v>
      </c>
      <c r="G68" s="517">
        <f t="shared" si="5"/>
        <v>0</v>
      </c>
      <c r="H68" s="517">
        <f t="shared" si="6"/>
        <v>0</v>
      </c>
      <c r="I68" s="517">
        <f t="shared" si="7"/>
        <v>0</v>
      </c>
      <c r="J68" s="517">
        <f t="shared" si="8"/>
        <v>0</v>
      </c>
      <c r="K68" s="517">
        <f t="shared" si="9"/>
        <v>0</v>
      </c>
      <c r="L68" s="517"/>
      <c r="M68" s="517">
        <f>IF($B68=0,0,(((VLOOKUP(Summary_Services!$F68,lookup_salaries,8,FALSE))*$E68)))</f>
        <v>0</v>
      </c>
      <c r="N68" s="517">
        <f>IF($B68=0,0,(((VLOOKUP(Summary_Services!$F68,lookup_salaries,8,FALSE))*$E68)))</f>
        <v>0</v>
      </c>
      <c r="O68" s="517">
        <f>IF($B68=0,0,(((VLOOKUP(Summary_Services!$F68,lookup_salaries,8,FALSE))*$E68)))</f>
        <v>0</v>
      </c>
      <c r="P68" s="517">
        <f>IF($B68=0,0,(((VLOOKUP(Summary_Services!$F68,lookup_salaries,8,FALSE))*$E68)))</f>
        <v>0</v>
      </c>
      <c r="Q68" s="517">
        <f>IF($B68=0,0,(((VLOOKUP(Summary_Services!$F68,lookup_salaries,8,FALSE))*$E68)))</f>
        <v>0</v>
      </c>
      <c r="R68" s="517">
        <f>IF($B68=0,0,(((VLOOKUP(Summary_Services!$F68,lookup_salaries,8,FALSE))*$E68)))</f>
        <v>0</v>
      </c>
      <c r="S68" s="517"/>
      <c r="T68" s="517">
        <f>IF(Summary_Services!Y68=0,0,Summary_TG!Q71/Summary_Services!Y68)</f>
        <v>0</v>
      </c>
      <c r="U68" s="517">
        <f>IF(Summary_Services!Z68=0,0,Summary_TG!R71/Summary_Services!Z68)</f>
        <v>0</v>
      </c>
      <c r="V68" s="517">
        <f>IF(Summary_Services!AA68=0,0,Summary_TG!S71/Summary_Services!AA68)</f>
        <v>0</v>
      </c>
      <c r="W68" s="517">
        <f>IF(Summary_Services!AB68=0,0,Summary_TG!T71/Summary_Services!AB68)</f>
        <v>0</v>
      </c>
      <c r="X68" s="517">
        <f>IF(Summary_Services!AC68=0,0,Summary_TG!U71/Summary_Services!AC68)</f>
        <v>0</v>
      </c>
      <c r="Y68" s="517">
        <f>IF(Summary_Services!AD68=0,0,Summary_TG!V71/Summary_Services!AD68)</f>
        <v>0</v>
      </c>
      <c r="Z68" s="517"/>
      <c r="AA68" s="517">
        <f>Summary_Services!R68</f>
        <v>0</v>
      </c>
      <c r="AB68" s="517">
        <f>Summary_Services!S68</f>
        <v>0</v>
      </c>
      <c r="AC68" s="517">
        <f>Summary_Services!T68</f>
        <v>0</v>
      </c>
      <c r="AD68" s="517">
        <f>Summary_Services!U68</f>
        <v>0</v>
      </c>
      <c r="AE68" s="517">
        <f>Summary_Services!V68</f>
        <v>0</v>
      </c>
      <c r="AF68" s="517">
        <f>Summary_Services!W68</f>
        <v>0</v>
      </c>
      <c r="AG68" s="517"/>
      <c r="AH68" s="517">
        <f t="shared" si="10"/>
        <v>0</v>
      </c>
      <c r="AI68" s="517">
        <f t="shared" si="11"/>
        <v>0</v>
      </c>
      <c r="AJ68" s="517">
        <f t="shared" si="12"/>
        <v>0</v>
      </c>
      <c r="AK68" s="517">
        <f t="shared" si="13"/>
        <v>0</v>
      </c>
      <c r="AL68" s="517">
        <f t="shared" si="14"/>
        <v>0</v>
      </c>
      <c r="AM68" s="517">
        <f t="shared" si="15"/>
        <v>0</v>
      </c>
      <c r="AN68" s="517"/>
      <c r="AO68" s="517">
        <f t="shared" si="16"/>
        <v>0</v>
      </c>
      <c r="AP68" s="517">
        <f t="shared" si="17"/>
        <v>0</v>
      </c>
      <c r="AQ68" s="517">
        <f t="shared" si="18"/>
        <v>0</v>
      </c>
      <c r="AR68" s="517">
        <f t="shared" si="19"/>
        <v>0</v>
      </c>
      <c r="AS68" s="517">
        <f t="shared" si="20"/>
        <v>0</v>
      </c>
      <c r="AT68" s="517">
        <f t="shared" si="21"/>
        <v>0</v>
      </c>
      <c r="AU68" s="517"/>
      <c r="AV68" s="517">
        <f t="shared" si="22"/>
        <v>0</v>
      </c>
      <c r="AW68" s="517">
        <f t="shared" si="23"/>
        <v>0</v>
      </c>
      <c r="AX68" s="517">
        <f t="shared" si="24"/>
        <v>0</v>
      </c>
      <c r="AY68" s="517">
        <f t="shared" si="25"/>
        <v>0</v>
      </c>
      <c r="AZ68" s="517">
        <f t="shared" si="26"/>
        <v>0</v>
      </c>
      <c r="BA68" s="517">
        <f t="shared" si="27"/>
        <v>0</v>
      </c>
      <c r="BB68" s="517"/>
      <c r="BC68" s="517" t="e">
        <f>+AH68/Demography!C$10</f>
        <v>#DIV/0!</v>
      </c>
      <c r="BD68" s="517" t="e">
        <f>+AI68/Demography!D$10</f>
        <v>#DIV/0!</v>
      </c>
      <c r="BE68" s="517" t="e">
        <f>+AJ68/Demography!E$10</f>
        <v>#DIV/0!</v>
      </c>
      <c r="BF68" s="517" t="e">
        <f>+AK68/Demography!F$10</f>
        <v>#DIV/0!</v>
      </c>
      <c r="BG68" s="517" t="e">
        <f>+AL68/Demography!G$10</f>
        <v>#DIV/0!</v>
      </c>
      <c r="BH68" s="517" t="e">
        <f>+AM68/Demography!H$10</f>
        <v>#DIV/0!</v>
      </c>
    </row>
    <row r="69" spans="1:60">
      <c r="A69" s="578">
        <v>64</v>
      </c>
      <c r="B69" s="4">
        <f>Summary_TG!B72</f>
        <v>0</v>
      </c>
      <c r="C69" s="4">
        <f>Summary_TG!C72</f>
        <v>0</v>
      </c>
      <c r="D69">
        <f>Summary_Services!E69</f>
        <v>0</v>
      </c>
      <c r="E69">
        <f>Summary_TG!G72</f>
        <v>0</v>
      </c>
      <c r="F69" s="517">
        <f t="shared" si="4"/>
        <v>0</v>
      </c>
      <c r="G69" s="517">
        <f t="shared" si="5"/>
        <v>0</v>
      </c>
      <c r="H69" s="517">
        <f t="shared" si="6"/>
        <v>0</v>
      </c>
      <c r="I69" s="517">
        <f t="shared" si="7"/>
        <v>0</v>
      </c>
      <c r="J69" s="517">
        <f t="shared" si="8"/>
        <v>0</v>
      </c>
      <c r="K69" s="517">
        <f t="shared" si="9"/>
        <v>0</v>
      </c>
      <c r="L69" s="517"/>
      <c r="M69" s="517">
        <f>IF($B69=0,0,(((VLOOKUP(Summary_Services!$F69,lookup_salaries,8,FALSE))*$E69)))</f>
        <v>0</v>
      </c>
      <c r="N69" s="517">
        <f>IF($B69=0,0,(((VLOOKUP(Summary_Services!$F69,lookup_salaries,8,FALSE))*$E69)))</f>
        <v>0</v>
      </c>
      <c r="O69" s="517">
        <f>IF($B69=0,0,(((VLOOKUP(Summary_Services!$F69,lookup_salaries,8,FALSE))*$E69)))</f>
        <v>0</v>
      </c>
      <c r="P69" s="517">
        <f>IF($B69=0,0,(((VLOOKUP(Summary_Services!$F69,lookup_salaries,8,FALSE))*$E69)))</f>
        <v>0</v>
      </c>
      <c r="Q69" s="517">
        <f>IF($B69=0,0,(((VLOOKUP(Summary_Services!$F69,lookup_salaries,8,FALSE))*$E69)))</f>
        <v>0</v>
      </c>
      <c r="R69" s="517">
        <f>IF($B69=0,0,(((VLOOKUP(Summary_Services!$F69,lookup_salaries,8,FALSE))*$E69)))</f>
        <v>0</v>
      </c>
      <c r="S69" s="517"/>
      <c r="T69" s="517">
        <f>IF(Summary_Services!Y69=0,0,Summary_TG!Q72/Summary_Services!Y69)</f>
        <v>0</v>
      </c>
      <c r="U69" s="517">
        <f>IF(Summary_Services!Z69=0,0,Summary_TG!R72/Summary_Services!Z69)</f>
        <v>0</v>
      </c>
      <c r="V69" s="517">
        <f>IF(Summary_Services!AA69=0,0,Summary_TG!S72/Summary_Services!AA69)</f>
        <v>0</v>
      </c>
      <c r="W69" s="517">
        <f>IF(Summary_Services!AB69=0,0,Summary_TG!T72/Summary_Services!AB69)</f>
        <v>0</v>
      </c>
      <c r="X69" s="517">
        <f>IF(Summary_Services!AC69=0,0,Summary_TG!U72/Summary_Services!AC69)</f>
        <v>0</v>
      </c>
      <c r="Y69" s="517">
        <f>IF(Summary_Services!AD69=0,0,Summary_TG!V72/Summary_Services!AD69)</f>
        <v>0</v>
      </c>
      <c r="Z69" s="517"/>
      <c r="AA69" s="517">
        <f>Summary_Services!R69</f>
        <v>0</v>
      </c>
      <c r="AB69" s="517">
        <f>Summary_Services!S69</f>
        <v>0</v>
      </c>
      <c r="AC69" s="517">
        <f>Summary_Services!T69</f>
        <v>0</v>
      </c>
      <c r="AD69" s="517">
        <f>Summary_Services!U69</f>
        <v>0</v>
      </c>
      <c r="AE69" s="517">
        <f>Summary_Services!V69</f>
        <v>0</v>
      </c>
      <c r="AF69" s="517">
        <f>Summary_Services!W69</f>
        <v>0</v>
      </c>
      <c r="AG69" s="517"/>
      <c r="AH69" s="517">
        <f t="shared" si="10"/>
        <v>0</v>
      </c>
      <c r="AI69" s="517">
        <f t="shared" si="11"/>
        <v>0</v>
      </c>
      <c r="AJ69" s="517">
        <f t="shared" si="12"/>
        <v>0</v>
      </c>
      <c r="AK69" s="517">
        <f t="shared" si="13"/>
        <v>0</v>
      </c>
      <c r="AL69" s="517">
        <f t="shared" si="14"/>
        <v>0</v>
      </c>
      <c r="AM69" s="517">
        <f t="shared" si="15"/>
        <v>0</v>
      </c>
      <c r="AN69" s="517"/>
      <c r="AO69" s="517">
        <f t="shared" si="16"/>
        <v>0</v>
      </c>
      <c r="AP69" s="517">
        <f t="shared" si="17"/>
        <v>0</v>
      </c>
      <c r="AQ69" s="517">
        <f t="shared" si="18"/>
        <v>0</v>
      </c>
      <c r="AR69" s="517">
        <f t="shared" si="19"/>
        <v>0</v>
      </c>
      <c r="AS69" s="517">
        <f t="shared" si="20"/>
        <v>0</v>
      </c>
      <c r="AT69" s="517">
        <f t="shared" si="21"/>
        <v>0</v>
      </c>
      <c r="AU69" s="517"/>
      <c r="AV69" s="517">
        <f t="shared" si="22"/>
        <v>0</v>
      </c>
      <c r="AW69" s="517">
        <f t="shared" si="23"/>
        <v>0</v>
      </c>
      <c r="AX69" s="517">
        <f t="shared" si="24"/>
        <v>0</v>
      </c>
      <c r="AY69" s="517">
        <f t="shared" si="25"/>
        <v>0</v>
      </c>
      <c r="AZ69" s="517">
        <f t="shared" si="26"/>
        <v>0</v>
      </c>
      <c r="BA69" s="517">
        <f t="shared" si="27"/>
        <v>0</v>
      </c>
      <c r="BB69" s="517"/>
      <c r="BC69" s="517" t="e">
        <f>+AH69/Demography!C$10</f>
        <v>#DIV/0!</v>
      </c>
      <c r="BD69" s="517" t="e">
        <f>+AI69/Demography!D$10</f>
        <v>#DIV/0!</v>
      </c>
      <c r="BE69" s="517" t="e">
        <f>+AJ69/Demography!E$10</f>
        <v>#DIV/0!</v>
      </c>
      <c r="BF69" s="517" t="e">
        <f>+AK69/Demography!F$10</f>
        <v>#DIV/0!</v>
      </c>
      <c r="BG69" s="517" t="e">
        <f>+AL69/Demography!G$10</f>
        <v>#DIV/0!</v>
      </c>
      <c r="BH69" s="517" t="e">
        <f>+AM69/Demography!H$10</f>
        <v>#DIV/0!</v>
      </c>
    </row>
    <row r="70" spans="1:60">
      <c r="A70" s="578">
        <v>65</v>
      </c>
      <c r="B70" s="4">
        <f>Summary_TG!B73</f>
        <v>0</v>
      </c>
      <c r="C70" s="4">
        <f>Summary_TG!C73</f>
        <v>0</v>
      </c>
      <c r="D70">
        <f>Summary_Services!E70</f>
        <v>0</v>
      </c>
      <c r="E70">
        <f>Summary_TG!G73</f>
        <v>0</v>
      </c>
      <c r="F70" s="517">
        <f t="shared" si="4"/>
        <v>0</v>
      </c>
      <c r="G70" s="517">
        <f t="shared" si="5"/>
        <v>0</v>
      </c>
      <c r="H70" s="517">
        <f t="shared" si="6"/>
        <v>0</v>
      </c>
      <c r="I70" s="517">
        <f t="shared" si="7"/>
        <v>0</v>
      </c>
      <c r="J70" s="517">
        <f t="shared" si="8"/>
        <v>0</v>
      </c>
      <c r="K70" s="517">
        <f t="shared" si="9"/>
        <v>0</v>
      </c>
      <c r="L70" s="517"/>
      <c r="M70" s="517">
        <f>IF($B70=0,0,(((VLOOKUP(Summary_Services!$F70,lookup_salaries,8,FALSE))*$E70)))</f>
        <v>0</v>
      </c>
      <c r="N70" s="517">
        <f>IF($B70=0,0,(((VLOOKUP(Summary_Services!$F70,lookup_salaries,8,FALSE))*$E70)))</f>
        <v>0</v>
      </c>
      <c r="O70" s="517">
        <f>IF($B70=0,0,(((VLOOKUP(Summary_Services!$F70,lookup_salaries,8,FALSE))*$E70)))</f>
        <v>0</v>
      </c>
      <c r="P70" s="517">
        <f>IF($B70=0,0,(((VLOOKUP(Summary_Services!$F70,lookup_salaries,8,FALSE))*$E70)))</f>
        <v>0</v>
      </c>
      <c r="Q70" s="517">
        <f>IF($B70=0,0,(((VLOOKUP(Summary_Services!$F70,lookup_salaries,8,FALSE))*$E70)))</f>
        <v>0</v>
      </c>
      <c r="R70" s="517">
        <f>IF($B70=0,0,(((VLOOKUP(Summary_Services!$F70,lookup_salaries,8,FALSE))*$E70)))</f>
        <v>0</v>
      </c>
      <c r="S70" s="517"/>
      <c r="T70" s="517">
        <f>IF(Summary_Services!Y70=0,0,Summary_TG!Q73/Summary_Services!Y70)</f>
        <v>0</v>
      </c>
      <c r="U70" s="517">
        <f>IF(Summary_Services!Z70=0,0,Summary_TG!R73/Summary_Services!Z70)</f>
        <v>0</v>
      </c>
      <c r="V70" s="517">
        <f>IF(Summary_Services!AA70=0,0,Summary_TG!S73/Summary_Services!AA70)</f>
        <v>0</v>
      </c>
      <c r="W70" s="517">
        <f>IF(Summary_Services!AB70=0,0,Summary_TG!T73/Summary_Services!AB70)</f>
        <v>0</v>
      </c>
      <c r="X70" s="517">
        <f>IF(Summary_Services!AC70=0,0,Summary_TG!U73/Summary_Services!AC70)</f>
        <v>0</v>
      </c>
      <c r="Y70" s="517">
        <f>IF(Summary_Services!AD70=0,0,Summary_TG!V73/Summary_Services!AD70)</f>
        <v>0</v>
      </c>
      <c r="Z70" s="517"/>
      <c r="AA70" s="517">
        <f>Summary_Services!R70</f>
        <v>0</v>
      </c>
      <c r="AB70" s="517">
        <f>Summary_Services!S70</f>
        <v>0</v>
      </c>
      <c r="AC70" s="517">
        <f>Summary_Services!T70</f>
        <v>0</v>
      </c>
      <c r="AD70" s="517">
        <f>Summary_Services!U70</f>
        <v>0</v>
      </c>
      <c r="AE70" s="517">
        <f>Summary_Services!V70</f>
        <v>0</v>
      </c>
      <c r="AF70" s="517">
        <f>Summary_Services!W70</f>
        <v>0</v>
      </c>
      <c r="AG70" s="517"/>
      <c r="AH70" s="517">
        <f t="shared" si="10"/>
        <v>0</v>
      </c>
      <c r="AI70" s="517">
        <f t="shared" si="11"/>
        <v>0</v>
      </c>
      <c r="AJ70" s="517">
        <f t="shared" si="12"/>
        <v>0</v>
      </c>
      <c r="AK70" s="517">
        <f t="shared" si="13"/>
        <v>0</v>
      </c>
      <c r="AL70" s="517">
        <f t="shared" si="14"/>
        <v>0</v>
      </c>
      <c r="AM70" s="517">
        <f t="shared" si="15"/>
        <v>0</v>
      </c>
      <c r="AN70" s="517"/>
      <c r="AO70" s="517">
        <f t="shared" si="16"/>
        <v>0</v>
      </c>
      <c r="AP70" s="517">
        <f t="shared" si="17"/>
        <v>0</v>
      </c>
      <c r="AQ70" s="517">
        <f t="shared" si="18"/>
        <v>0</v>
      </c>
      <c r="AR70" s="517">
        <f t="shared" si="19"/>
        <v>0</v>
      </c>
      <c r="AS70" s="517">
        <f t="shared" si="20"/>
        <v>0</v>
      </c>
      <c r="AT70" s="517">
        <f t="shared" si="21"/>
        <v>0</v>
      </c>
      <c r="AU70" s="517"/>
      <c r="AV70" s="517">
        <f t="shared" si="22"/>
        <v>0</v>
      </c>
      <c r="AW70" s="517">
        <f t="shared" si="23"/>
        <v>0</v>
      </c>
      <c r="AX70" s="517">
        <f t="shared" si="24"/>
        <v>0</v>
      </c>
      <c r="AY70" s="517">
        <f t="shared" si="25"/>
        <v>0</v>
      </c>
      <c r="AZ70" s="517">
        <f t="shared" si="26"/>
        <v>0</v>
      </c>
      <c r="BA70" s="517">
        <f t="shared" si="27"/>
        <v>0</v>
      </c>
      <c r="BB70" s="517"/>
      <c r="BC70" s="517" t="e">
        <f>+AH70/Demography!C$10</f>
        <v>#DIV/0!</v>
      </c>
      <c r="BD70" s="517" t="e">
        <f>+AI70/Demography!D$10</f>
        <v>#DIV/0!</v>
      </c>
      <c r="BE70" s="517" t="e">
        <f>+AJ70/Demography!E$10</f>
        <v>#DIV/0!</v>
      </c>
      <c r="BF70" s="517" t="e">
        <f>+AK70/Demography!F$10</f>
        <v>#DIV/0!</v>
      </c>
      <c r="BG70" s="517" t="e">
        <f>+AL70/Demography!G$10</f>
        <v>#DIV/0!</v>
      </c>
      <c r="BH70" s="517" t="e">
        <f>+AM70/Demography!H$10</f>
        <v>#DIV/0!</v>
      </c>
    </row>
    <row r="71" spans="1:60">
      <c r="A71" s="578">
        <v>66</v>
      </c>
      <c r="B71" s="4">
        <f>Summary_TG!B74</f>
        <v>0</v>
      </c>
      <c r="C71" s="4">
        <f>Summary_TG!C74</f>
        <v>0</v>
      </c>
      <c r="D71">
        <f>Summary_Services!E71</f>
        <v>0</v>
      </c>
      <c r="E71">
        <f>Summary_TG!G74</f>
        <v>0</v>
      </c>
      <c r="F71" s="517">
        <f t="shared" ref="F71:F108" si="28">M71+T71</f>
        <v>0</v>
      </c>
      <c r="G71" s="517">
        <f t="shared" ref="G71:G108" si="29">N71+U71</f>
        <v>0</v>
      </c>
      <c r="H71" s="517">
        <f t="shared" ref="H71:H108" si="30">O71+V71</f>
        <v>0</v>
      </c>
      <c r="I71" s="517">
        <f t="shared" ref="I71:I108" si="31">P71+W71</f>
        <v>0</v>
      </c>
      <c r="J71" s="517">
        <f t="shared" ref="J71:J108" si="32">Q71+X71</f>
        <v>0</v>
      </c>
      <c r="K71" s="517">
        <f t="shared" ref="K71:K108" si="33">R71+Y71</f>
        <v>0</v>
      </c>
      <c r="L71" s="517"/>
      <c r="M71" s="517">
        <f>IF($B71=0,0,(((VLOOKUP(Summary_Services!$F71,lookup_salaries,8,FALSE))*$E71)))</f>
        <v>0</v>
      </c>
      <c r="N71" s="517">
        <f>IF($B71=0,0,(((VLOOKUP(Summary_Services!$F71,lookup_salaries,8,FALSE))*$E71)))</f>
        <v>0</v>
      </c>
      <c r="O71" s="517">
        <f>IF($B71=0,0,(((VLOOKUP(Summary_Services!$F71,lookup_salaries,8,FALSE))*$E71)))</f>
        <v>0</v>
      </c>
      <c r="P71" s="517">
        <f>IF($B71=0,0,(((VLOOKUP(Summary_Services!$F71,lookup_salaries,8,FALSE))*$E71)))</f>
        <v>0</v>
      </c>
      <c r="Q71" s="517">
        <f>IF($B71=0,0,(((VLOOKUP(Summary_Services!$F71,lookup_salaries,8,FALSE))*$E71)))</f>
        <v>0</v>
      </c>
      <c r="R71" s="517">
        <f>IF($B71=0,0,(((VLOOKUP(Summary_Services!$F71,lookup_salaries,8,FALSE))*$E71)))</f>
        <v>0</v>
      </c>
      <c r="S71" s="517"/>
      <c r="T71" s="517">
        <f>IF(Summary_Services!Y71=0,0,Summary_TG!Q74/Summary_Services!Y71)</f>
        <v>0</v>
      </c>
      <c r="U71" s="517">
        <f>IF(Summary_Services!Z71=0,0,Summary_TG!R74/Summary_Services!Z71)</f>
        <v>0</v>
      </c>
      <c r="V71" s="517">
        <f>IF(Summary_Services!AA71=0,0,Summary_TG!S74/Summary_Services!AA71)</f>
        <v>0</v>
      </c>
      <c r="W71" s="517">
        <f>IF(Summary_Services!AB71=0,0,Summary_TG!T74/Summary_Services!AB71)</f>
        <v>0</v>
      </c>
      <c r="X71" s="517">
        <f>IF(Summary_Services!AC71=0,0,Summary_TG!U74/Summary_Services!AC71)</f>
        <v>0</v>
      </c>
      <c r="Y71" s="517">
        <f>IF(Summary_Services!AD71=0,0,Summary_TG!V74/Summary_Services!AD71)</f>
        <v>0</v>
      </c>
      <c r="Z71" s="517"/>
      <c r="AA71" s="517">
        <f>Summary_Services!R71</f>
        <v>0</v>
      </c>
      <c r="AB71" s="517">
        <f>Summary_Services!S71</f>
        <v>0</v>
      </c>
      <c r="AC71" s="517">
        <f>Summary_Services!T71</f>
        <v>0</v>
      </c>
      <c r="AD71" s="517">
        <f>Summary_Services!U71</f>
        <v>0</v>
      </c>
      <c r="AE71" s="517">
        <f>Summary_Services!V71</f>
        <v>0</v>
      </c>
      <c r="AF71" s="517">
        <f>Summary_Services!W71</f>
        <v>0</v>
      </c>
      <c r="AG71" s="517"/>
      <c r="AH71" s="517">
        <f t="shared" ref="AH71:AH108" si="34">+AA71*F71</f>
        <v>0</v>
      </c>
      <c r="AI71" s="517">
        <f t="shared" ref="AI71:AI108" si="35">+AB71*G71</f>
        <v>0</v>
      </c>
      <c r="AJ71" s="517">
        <f t="shared" ref="AJ71:AJ108" si="36">+AC71*H71</f>
        <v>0</v>
      </c>
      <c r="AK71" s="517">
        <f t="shared" ref="AK71:AK108" si="37">+AD71*I71</f>
        <v>0</v>
      </c>
      <c r="AL71" s="517">
        <f t="shared" ref="AL71:AL108" si="38">+AE71*J71</f>
        <v>0</v>
      </c>
      <c r="AM71" s="517">
        <f t="shared" ref="AM71:AM108" si="39">+AF71*K71</f>
        <v>0</v>
      </c>
      <c r="AN71" s="517"/>
      <c r="AO71" s="517">
        <f t="shared" ref="AO71:AO108" si="40">+AA71*M71</f>
        <v>0</v>
      </c>
      <c r="AP71" s="517">
        <f t="shared" ref="AP71:AP108" si="41">+AB71*N71</f>
        <v>0</v>
      </c>
      <c r="AQ71" s="517">
        <f t="shared" ref="AQ71:AQ108" si="42">+AC71*O71</f>
        <v>0</v>
      </c>
      <c r="AR71" s="517">
        <f t="shared" ref="AR71:AR108" si="43">+AD71*P71</f>
        <v>0</v>
      </c>
      <c r="AS71" s="517">
        <f t="shared" ref="AS71:AS108" si="44">+AE71*Q71</f>
        <v>0</v>
      </c>
      <c r="AT71" s="517">
        <f t="shared" ref="AT71:AT108" si="45">+AF71*R71</f>
        <v>0</v>
      </c>
      <c r="AU71" s="517"/>
      <c r="AV71" s="517">
        <f t="shared" ref="AV71:AV108" si="46">+AA71*T71</f>
        <v>0</v>
      </c>
      <c r="AW71" s="517">
        <f t="shared" ref="AW71:AW108" si="47">+AB71*U71</f>
        <v>0</v>
      </c>
      <c r="AX71" s="517">
        <f t="shared" ref="AX71:AX108" si="48">+AC71*V71</f>
        <v>0</v>
      </c>
      <c r="AY71" s="517">
        <f t="shared" ref="AY71:AY108" si="49">+AD71*W71</f>
        <v>0</v>
      </c>
      <c r="AZ71" s="517">
        <f t="shared" ref="AZ71:AZ108" si="50">+AE71*X71</f>
        <v>0</v>
      </c>
      <c r="BA71" s="517">
        <f t="shared" ref="BA71:BA108" si="51">+AF71*Y71</f>
        <v>0</v>
      </c>
      <c r="BB71" s="517"/>
      <c r="BC71" s="517" t="e">
        <f>+AH71/Demography!C$10</f>
        <v>#DIV/0!</v>
      </c>
      <c r="BD71" s="517" t="e">
        <f>+AI71/Demography!D$10</f>
        <v>#DIV/0!</v>
      </c>
      <c r="BE71" s="517" t="e">
        <f>+AJ71/Demography!E$10</f>
        <v>#DIV/0!</v>
      </c>
      <c r="BF71" s="517" t="e">
        <f>+AK71/Demography!F$10</f>
        <v>#DIV/0!</v>
      </c>
      <c r="BG71" s="517" t="e">
        <f>+AL71/Demography!G$10</f>
        <v>#DIV/0!</v>
      </c>
      <c r="BH71" s="517" t="e">
        <f>+AM71/Demography!H$10</f>
        <v>#DIV/0!</v>
      </c>
    </row>
    <row r="72" spans="1:60">
      <c r="A72" s="578">
        <v>67</v>
      </c>
      <c r="B72" s="4">
        <f>Summary_TG!B75</f>
        <v>0</v>
      </c>
      <c r="C72" s="4">
        <f>Summary_TG!C75</f>
        <v>0</v>
      </c>
      <c r="D72">
        <f>Summary_Services!E72</f>
        <v>0</v>
      </c>
      <c r="E72">
        <f>Summary_TG!G75</f>
        <v>0</v>
      </c>
      <c r="F72" s="517">
        <f t="shared" si="28"/>
        <v>0</v>
      </c>
      <c r="G72" s="517">
        <f t="shared" si="29"/>
        <v>0</v>
      </c>
      <c r="H72" s="517">
        <f t="shared" si="30"/>
        <v>0</v>
      </c>
      <c r="I72" s="517">
        <f t="shared" si="31"/>
        <v>0</v>
      </c>
      <c r="J72" s="517">
        <f t="shared" si="32"/>
        <v>0</v>
      </c>
      <c r="K72" s="517">
        <f t="shared" si="33"/>
        <v>0</v>
      </c>
      <c r="L72" s="517"/>
      <c r="M72" s="517">
        <f>IF($B72=0,0,(((VLOOKUP(Summary_Services!$F72,lookup_salaries,8,FALSE))*$E72)))</f>
        <v>0</v>
      </c>
      <c r="N72" s="517">
        <f>IF($B72=0,0,(((VLOOKUP(Summary_Services!$F72,lookup_salaries,8,FALSE))*$E72)))</f>
        <v>0</v>
      </c>
      <c r="O72" s="517">
        <f>IF($B72=0,0,(((VLOOKUP(Summary_Services!$F72,lookup_salaries,8,FALSE))*$E72)))</f>
        <v>0</v>
      </c>
      <c r="P72" s="517">
        <f>IF($B72=0,0,(((VLOOKUP(Summary_Services!$F72,lookup_salaries,8,FALSE))*$E72)))</f>
        <v>0</v>
      </c>
      <c r="Q72" s="517">
        <f>IF($B72=0,0,(((VLOOKUP(Summary_Services!$F72,lookup_salaries,8,FALSE))*$E72)))</f>
        <v>0</v>
      </c>
      <c r="R72" s="517">
        <f>IF($B72=0,0,(((VLOOKUP(Summary_Services!$F72,lookup_salaries,8,FALSE))*$E72)))</f>
        <v>0</v>
      </c>
      <c r="S72" s="517"/>
      <c r="T72" s="517">
        <f>IF(Summary_Services!Y72=0,0,Summary_TG!Q75/Summary_Services!Y72)</f>
        <v>0</v>
      </c>
      <c r="U72" s="517">
        <f>IF(Summary_Services!Z72=0,0,Summary_TG!R75/Summary_Services!Z72)</f>
        <v>0</v>
      </c>
      <c r="V72" s="517">
        <f>IF(Summary_Services!AA72=0,0,Summary_TG!S75/Summary_Services!AA72)</f>
        <v>0</v>
      </c>
      <c r="W72" s="517">
        <f>IF(Summary_Services!AB72=0,0,Summary_TG!T75/Summary_Services!AB72)</f>
        <v>0</v>
      </c>
      <c r="X72" s="517">
        <f>IF(Summary_Services!AC72=0,0,Summary_TG!U75/Summary_Services!AC72)</f>
        <v>0</v>
      </c>
      <c r="Y72" s="517">
        <f>IF(Summary_Services!AD72=0,0,Summary_TG!V75/Summary_Services!AD72)</f>
        <v>0</v>
      </c>
      <c r="Z72" s="517"/>
      <c r="AA72" s="517">
        <f>Summary_Services!R72</f>
        <v>0</v>
      </c>
      <c r="AB72" s="517">
        <f>Summary_Services!S72</f>
        <v>0</v>
      </c>
      <c r="AC72" s="517">
        <f>Summary_Services!T72</f>
        <v>0</v>
      </c>
      <c r="AD72" s="517">
        <f>Summary_Services!U72</f>
        <v>0</v>
      </c>
      <c r="AE72" s="517">
        <f>Summary_Services!V72</f>
        <v>0</v>
      </c>
      <c r="AF72" s="517">
        <f>Summary_Services!W72</f>
        <v>0</v>
      </c>
      <c r="AG72" s="517"/>
      <c r="AH72" s="517">
        <f t="shared" si="34"/>
        <v>0</v>
      </c>
      <c r="AI72" s="517">
        <f t="shared" si="35"/>
        <v>0</v>
      </c>
      <c r="AJ72" s="517">
        <f t="shared" si="36"/>
        <v>0</v>
      </c>
      <c r="AK72" s="517">
        <f t="shared" si="37"/>
        <v>0</v>
      </c>
      <c r="AL72" s="517">
        <f t="shared" si="38"/>
        <v>0</v>
      </c>
      <c r="AM72" s="517">
        <f t="shared" si="39"/>
        <v>0</v>
      </c>
      <c r="AN72" s="517"/>
      <c r="AO72" s="517">
        <f t="shared" si="40"/>
        <v>0</v>
      </c>
      <c r="AP72" s="517">
        <f t="shared" si="41"/>
        <v>0</v>
      </c>
      <c r="AQ72" s="517">
        <f t="shared" si="42"/>
        <v>0</v>
      </c>
      <c r="AR72" s="517">
        <f t="shared" si="43"/>
        <v>0</v>
      </c>
      <c r="AS72" s="517">
        <f t="shared" si="44"/>
        <v>0</v>
      </c>
      <c r="AT72" s="517">
        <f t="shared" si="45"/>
        <v>0</v>
      </c>
      <c r="AU72" s="517"/>
      <c r="AV72" s="517">
        <f t="shared" si="46"/>
        <v>0</v>
      </c>
      <c r="AW72" s="517">
        <f t="shared" si="47"/>
        <v>0</v>
      </c>
      <c r="AX72" s="517">
        <f t="shared" si="48"/>
        <v>0</v>
      </c>
      <c r="AY72" s="517">
        <f t="shared" si="49"/>
        <v>0</v>
      </c>
      <c r="AZ72" s="517">
        <f t="shared" si="50"/>
        <v>0</v>
      </c>
      <c r="BA72" s="517">
        <f t="shared" si="51"/>
        <v>0</v>
      </c>
      <c r="BB72" s="517"/>
      <c r="BC72" s="517" t="e">
        <f>+AH72/Demography!C$10</f>
        <v>#DIV/0!</v>
      </c>
      <c r="BD72" s="517" t="e">
        <f>+AI72/Demography!D$10</f>
        <v>#DIV/0!</v>
      </c>
      <c r="BE72" s="517" t="e">
        <f>+AJ72/Demography!E$10</f>
        <v>#DIV/0!</v>
      </c>
      <c r="BF72" s="517" t="e">
        <f>+AK72/Demography!F$10</f>
        <v>#DIV/0!</v>
      </c>
      <c r="BG72" s="517" t="e">
        <f>+AL72/Demography!G$10</f>
        <v>#DIV/0!</v>
      </c>
      <c r="BH72" s="517" t="e">
        <f>+AM72/Demography!H$10</f>
        <v>#DIV/0!</v>
      </c>
    </row>
    <row r="73" spans="1:60">
      <c r="A73" s="578">
        <v>68</v>
      </c>
      <c r="B73" s="4">
        <f>Summary_TG!B76</f>
        <v>0</v>
      </c>
      <c r="C73" s="4">
        <f>Summary_TG!C76</f>
        <v>0</v>
      </c>
      <c r="D73">
        <f>Summary_Services!E73</f>
        <v>0</v>
      </c>
      <c r="E73">
        <f>Summary_TG!G76</f>
        <v>0</v>
      </c>
      <c r="F73" s="517">
        <f t="shared" si="28"/>
        <v>0</v>
      </c>
      <c r="G73" s="517">
        <f t="shared" si="29"/>
        <v>0</v>
      </c>
      <c r="H73" s="517">
        <f t="shared" si="30"/>
        <v>0</v>
      </c>
      <c r="I73" s="517">
        <f t="shared" si="31"/>
        <v>0</v>
      </c>
      <c r="J73" s="517">
        <f t="shared" si="32"/>
        <v>0</v>
      </c>
      <c r="K73" s="517">
        <f t="shared" si="33"/>
        <v>0</v>
      </c>
      <c r="L73" s="517"/>
      <c r="M73" s="517">
        <f>IF($B73=0,0,(((VLOOKUP(Summary_Services!$F73,lookup_salaries,8,FALSE))*$E73)))</f>
        <v>0</v>
      </c>
      <c r="N73" s="517">
        <f>IF($B73=0,0,(((VLOOKUP(Summary_Services!$F73,lookup_salaries,8,FALSE))*$E73)))</f>
        <v>0</v>
      </c>
      <c r="O73" s="517">
        <f>IF($B73=0,0,(((VLOOKUP(Summary_Services!$F73,lookup_salaries,8,FALSE))*$E73)))</f>
        <v>0</v>
      </c>
      <c r="P73" s="517">
        <f>IF($B73=0,0,(((VLOOKUP(Summary_Services!$F73,lookup_salaries,8,FALSE))*$E73)))</f>
        <v>0</v>
      </c>
      <c r="Q73" s="517">
        <f>IF($B73=0,0,(((VLOOKUP(Summary_Services!$F73,lookup_salaries,8,FALSE))*$E73)))</f>
        <v>0</v>
      </c>
      <c r="R73" s="517">
        <f>IF($B73=0,0,(((VLOOKUP(Summary_Services!$F73,lookup_salaries,8,FALSE))*$E73)))</f>
        <v>0</v>
      </c>
      <c r="S73" s="517"/>
      <c r="T73" s="517">
        <f>IF(Summary_Services!Y73=0,0,Summary_TG!Q76/Summary_Services!Y73)</f>
        <v>0</v>
      </c>
      <c r="U73" s="517">
        <f>IF(Summary_Services!Z73=0,0,Summary_TG!R76/Summary_Services!Z73)</f>
        <v>0</v>
      </c>
      <c r="V73" s="517">
        <f>IF(Summary_Services!AA73=0,0,Summary_TG!S76/Summary_Services!AA73)</f>
        <v>0</v>
      </c>
      <c r="W73" s="517">
        <f>IF(Summary_Services!AB73=0,0,Summary_TG!T76/Summary_Services!AB73)</f>
        <v>0</v>
      </c>
      <c r="X73" s="517">
        <f>IF(Summary_Services!AC73=0,0,Summary_TG!U76/Summary_Services!AC73)</f>
        <v>0</v>
      </c>
      <c r="Y73" s="517">
        <f>IF(Summary_Services!AD73=0,0,Summary_TG!V76/Summary_Services!AD73)</f>
        <v>0</v>
      </c>
      <c r="Z73" s="517"/>
      <c r="AA73" s="517">
        <f>Summary_Services!R73</f>
        <v>0</v>
      </c>
      <c r="AB73" s="517">
        <f>Summary_Services!S73</f>
        <v>0</v>
      </c>
      <c r="AC73" s="517">
        <f>Summary_Services!T73</f>
        <v>0</v>
      </c>
      <c r="AD73" s="517">
        <f>Summary_Services!U73</f>
        <v>0</v>
      </c>
      <c r="AE73" s="517">
        <f>Summary_Services!V73</f>
        <v>0</v>
      </c>
      <c r="AF73" s="517">
        <f>Summary_Services!W73</f>
        <v>0</v>
      </c>
      <c r="AG73" s="517"/>
      <c r="AH73" s="517">
        <f t="shared" si="34"/>
        <v>0</v>
      </c>
      <c r="AI73" s="517">
        <f t="shared" si="35"/>
        <v>0</v>
      </c>
      <c r="AJ73" s="517">
        <f t="shared" si="36"/>
        <v>0</v>
      </c>
      <c r="AK73" s="517">
        <f t="shared" si="37"/>
        <v>0</v>
      </c>
      <c r="AL73" s="517">
        <f t="shared" si="38"/>
        <v>0</v>
      </c>
      <c r="AM73" s="517">
        <f t="shared" si="39"/>
        <v>0</v>
      </c>
      <c r="AN73" s="517"/>
      <c r="AO73" s="517">
        <f t="shared" si="40"/>
        <v>0</v>
      </c>
      <c r="AP73" s="517">
        <f t="shared" si="41"/>
        <v>0</v>
      </c>
      <c r="AQ73" s="517">
        <f t="shared" si="42"/>
        <v>0</v>
      </c>
      <c r="AR73" s="517">
        <f t="shared" si="43"/>
        <v>0</v>
      </c>
      <c r="AS73" s="517">
        <f t="shared" si="44"/>
        <v>0</v>
      </c>
      <c r="AT73" s="517">
        <f t="shared" si="45"/>
        <v>0</v>
      </c>
      <c r="AU73" s="517"/>
      <c r="AV73" s="517">
        <f t="shared" si="46"/>
        <v>0</v>
      </c>
      <c r="AW73" s="517">
        <f t="shared" si="47"/>
        <v>0</v>
      </c>
      <c r="AX73" s="517">
        <f t="shared" si="48"/>
        <v>0</v>
      </c>
      <c r="AY73" s="517">
        <f t="shared" si="49"/>
        <v>0</v>
      </c>
      <c r="AZ73" s="517">
        <f t="shared" si="50"/>
        <v>0</v>
      </c>
      <c r="BA73" s="517">
        <f t="shared" si="51"/>
        <v>0</v>
      </c>
      <c r="BB73" s="517"/>
      <c r="BC73" s="517" t="e">
        <f>+AH73/Demography!C$10</f>
        <v>#DIV/0!</v>
      </c>
      <c r="BD73" s="517" t="e">
        <f>+AI73/Demography!D$10</f>
        <v>#DIV/0!</v>
      </c>
      <c r="BE73" s="517" t="e">
        <f>+AJ73/Demography!E$10</f>
        <v>#DIV/0!</v>
      </c>
      <c r="BF73" s="517" t="e">
        <f>+AK73/Demography!F$10</f>
        <v>#DIV/0!</v>
      </c>
      <c r="BG73" s="517" t="e">
        <f>+AL73/Demography!G$10</f>
        <v>#DIV/0!</v>
      </c>
      <c r="BH73" s="517" t="e">
        <f>+AM73/Demography!H$10</f>
        <v>#DIV/0!</v>
      </c>
    </row>
    <row r="74" spans="1:60">
      <c r="A74" s="578">
        <v>69</v>
      </c>
      <c r="B74" s="4">
        <f>Summary_TG!B77</f>
        <v>0</v>
      </c>
      <c r="C74" s="4">
        <f>Summary_TG!C77</f>
        <v>0</v>
      </c>
      <c r="D74">
        <f>Summary_Services!E74</f>
        <v>0</v>
      </c>
      <c r="E74">
        <f>Summary_TG!G77</f>
        <v>0</v>
      </c>
      <c r="F74" s="517">
        <f t="shared" si="28"/>
        <v>0</v>
      </c>
      <c r="G74" s="517">
        <f t="shared" si="29"/>
        <v>0</v>
      </c>
      <c r="H74" s="517">
        <f t="shared" si="30"/>
        <v>0</v>
      </c>
      <c r="I74" s="517">
        <f t="shared" si="31"/>
        <v>0</v>
      </c>
      <c r="J74" s="517">
        <f t="shared" si="32"/>
        <v>0</v>
      </c>
      <c r="K74" s="517">
        <f t="shared" si="33"/>
        <v>0</v>
      </c>
      <c r="L74" s="517"/>
      <c r="M74" s="517">
        <f>IF($B74=0,0,(((VLOOKUP(Summary_Services!$F74,lookup_salaries,8,FALSE))*$E74)))</f>
        <v>0</v>
      </c>
      <c r="N74" s="517">
        <f>IF($B74=0,0,(((VLOOKUP(Summary_Services!$F74,lookup_salaries,8,FALSE))*$E74)))</f>
        <v>0</v>
      </c>
      <c r="O74" s="517">
        <f>IF($B74=0,0,(((VLOOKUP(Summary_Services!$F74,lookup_salaries,8,FALSE))*$E74)))</f>
        <v>0</v>
      </c>
      <c r="P74" s="517">
        <f>IF($B74=0,0,(((VLOOKUP(Summary_Services!$F74,lookup_salaries,8,FALSE))*$E74)))</f>
        <v>0</v>
      </c>
      <c r="Q74" s="517">
        <f>IF($B74=0,0,(((VLOOKUP(Summary_Services!$F74,lookup_salaries,8,FALSE))*$E74)))</f>
        <v>0</v>
      </c>
      <c r="R74" s="517">
        <f>IF($B74=0,0,(((VLOOKUP(Summary_Services!$F74,lookup_salaries,8,FALSE))*$E74)))</f>
        <v>0</v>
      </c>
      <c r="S74" s="517"/>
      <c r="T74" s="517">
        <f>IF(Summary_Services!Y74=0,0,Summary_TG!Q77/Summary_Services!Y74)</f>
        <v>0</v>
      </c>
      <c r="U74" s="517">
        <f>IF(Summary_Services!Z74=0,0,Summary_TG!R77/Summary_Services!Z74)</f>
        <v>0</v>
      </c>
      <c r="V74" s="517">
        <f>IF(Summary_Services!AA74=0,0,Summary_TG!S77/Summary_Services!AA74)</f>
        <v>0</v>
      </c>
      <c r="W74" s="517">
        <f>IF(Summary_Services!AB74=0,0,Summary_TG!T77/Summary_Services!AB74)</f>
        <v>0</v>
      </c>
      <c r="X74" s="517">
        <f>IF(Summary_Services!AC74=0,0,Summary_TG!U77/Summary_Services!AC74)</f>
        <v>0</v>
      </c>
      <c r="Y74" s="517">
        <f>IF(Summary_Services!AD74=0,0,Summary_TG!V77/Summary_Services!AD74)</f>
        <v>0</v>
      </c>
      <c r="Z74" s="517"/>
      <c r="AA74" s="517">
        <f>Summary_Services!R74</f>
        <v>0</v>
      </c>
      <c r="AB74" s="517">
        <f>Summary_Services!S74</f>
        <v>0</v>
      </c>
      <c r="AC74" s="517">
        <f>Summary_Services!T74</f>
        <v>0</v>
      </c>
      <c r="AD74" s="517">
        <f>Summary_Services!U74</f>
        <v>0</v>
      </c>
      <c r="AE74" s="517">
        <f>Summary_Services!V74</f>
        <v>0</v>
      </c>
      <c r="AF74" s="517">
        <f>Summary_Services!W74</f>
        <v>0</v>
      </c>
      <c r="AG74" s="517"/>
      <c r="AH74" s="517">
        <f t="shared" si="34"/>
        <v>0</v>
      </c>
      <c r="AI74" s="517">
        <f t="shared" si="35"/>
        <v>0</v>
      </c>
      <c r="AJ74" s="517">
        <f t="shared" si="36"/>
        <v>0</v>
      </c>
      <c r="AK74" s="517">
        <f t="shared" si="37"/>
        <v>0</v>
      </c>
      <c r="AL74" s="517">
        <f t="shared" si="38"/>
        <v>0</v>
      </c>
      <c r="AM74" s="517">
        <f t="shared" si="39"/>
        <v>0</v>
      </c>
      <c r="AN74" s="517"/>
      <c r="AO74" s="517">
        <f t="shared" si="40"/>
        <v>0</v>
      </c>
      <c r="AP74" s="517">
        <f t="shared" si="41"/>
        <v>0</v>
      </c>
      <c r="AQ74" s="517">
        <f t="shared" si="42"/>
        <v>0</v>
      </c>
      <c r="AR74" s="517">
        <f t="shared" si="43"/>
        <v>0</v>
      </c>
      <c r="AS74" s="517">
        <f t="shared" si="44"/>
        <v>0</v>
      </c>
      <c r="AT74" s="517">
        <f t="shared" si="45"/>
        <v>0</v>
      </c>
      <c r="AU74" s="517"/>
      <c r="AV74" s="517">
        <f t="shared" si="46"/>
        <v>0</v>
      </c>
      <c r="AW74" s="517">
        <f t="shared" si="47"/>
        <v>0</v>
      </c>
      <c r="AX74" s="517">
        <f t="shared" si="48"/>
        <v>0</v>
      </c>
      <c r="AY74" s="517">
        <f t="shared" si="49"/>
        <v>0</v>
      </c>
      <c r="AZ74" s="517">
        <f t="shared" si="50"/>
        <v>0</v>
      </c>
      <c r="BA74" s="517">
        <f t="shared" si="51"/>
        <v>0</v>
      </c>
      <c r="BB74" s="517"/>
      <c r="BC74" s="517" t="e">
        <f>+AH74/Demography!C$10</f>
        <v>#DIV/0!</v>
      </c>
      <c r="BD74" s="517" t="e">
        <f>+AI74/Demography!D$10</f>
        <v>#DIV/0!</v>
      </c>
      <c r="BE74" s="517" t="e">
        <f>+AJ74/Demography!E$10</f>
        <v>#DIV/0!</v>
      </c>
      <c r="BF74" s="517" t="e">
        <f>+AK74/Demography!F$10</f>
        <v>#DIV/0!</v>
      </c>
      <c r="BG74" s="517" t="e">
        <f>+AL74/Demography!G$10</f>
        <v>#DIV/0!</v>
      </c>
      <c r="BH74" s="517" t="e">
        <f>+AM74/Demography!H$10</f>
        <v>#DIV/0!</v>
      </c>
    </row>
    <row r="75" spans="1:60">
      <c r="A75" s="578">
        <v>70</v>
      </c>
      <c r="B75" s="4">
        <f>Summary_TG!B78</f>
        <v>0</v>
      </c>
      <c r="C75" s="4">
        <f>Summary_TG!C78</f>
        <v>0</v>
      </c>
      <c r="D75">
        <f>Summary_Services!E75</f>
        <v>0</v>
      </c>
      <c r="E75">
        <f>Summary_TG!G78</f>
        <v>0</v>
      </c>
      <c r="F75" s="517">
        <f t="shared" si="28"/>
        <v>0</v>
      </c>
      <c r="G75" s="517">
        <f t="shared" si="29"/>
        <v>0</v>
      </c>
      <c r="H75" s="517">
        <f t="shared" si="30"/>
        <v>0</v>
      </c>
      <c r="I75" s="517">
        <f t="shared" si="31"/>
        <v>0</v>
      </c>
      <c r="J75" s="517">
        <f t="shared" si="32"/>
        <v>0</v>
      </c>
      <c r="K75" s="517">
        <f t="shared" si="33"/>
        <v>0</v>
      </c>
      <c r="L75" s="517"/>
      <c r="M75" s="517">
        <f>IF($B75=0,0,(((VLOOKUP(Summary_Services!$F75,lookup_salaries,8,FALSE))*$E75)))</f>
        <v>0</v>
      </c>
      <c r="N75" s="517">
        <f>IF($B75=0,0,(((VLOOKUP(Summary_Services!$F75,lookup_salaries,8,FALSE))*$E75)))</f>
        <v>0</v>
      </c>
      <c r="O75" s="517">
        <f>IF($B75=0,0,(((VLOOKUP(Summary_Services!$F75,lookup_salaries,8,FALSE))*$E75)))</f>
        <v>0</v>
      </c>
      <c r="P75" s="517">
        <f>IF($B75=0,0,(((VLOOKUP(Summary_Services!$F75,lookup_salaries,8,FALSE))*$E75)))</f>
        <v>0</v>
      </c>
      <c r="Q75" s="517">
        <f>IF($B75=0,0,(((VLOOKUP(Summary_Services!$F75,lookup_salaries,8,FALSE))*$E75)))</f>
        <v>0</v>
      </c>
      <c r="R75" s="517">
        <f>IF($B75=0,0,(((VLOOKUP(Summary_Services!$F75,lookup_salaries,8,FALSE))*$E75)))</f>
        <v>0</v>
      </c>
      <c r="S75" s="517"/>
      <c r="T75" s="517">
        <f>IF(Summary_Services!Y75=0,0,Summary_TG!Q78/Summary_Services!Y75)</f>
        <v>0</v>
      </c>
      <c r="U75" s="517">
        <f>IF(Summary_Services!Z75=0,0,Summary_TG!R78/Summary_Services!Z75)</f>
        <v>0</v>
      </c>
      <c r="V75" s="517">
        <f>IF(Summary_Services!AA75=0,0,Summary_TG!S78/Summary_Services!AA75)</f>
        <v>0</v>
      </c>
      <c r="W75" s="517">
        <f>IF(Summary_Services!AB75=0,0,Summary_TG!T78/Summary_Services!AB75)</f>
        <v>0</v>
      </c>
      <c r="X75" s="517">
        <f>IF(Summary_Services!AC75=0,0,Summary_TG!U78/Summary_Services!AC75)</f>
        <v>0</v>
      </c>
      <c r="Y75" s="517">
        <f>IF(Summary_Services!AD75=0,0,Summary_TG!V78/Summary_Services!AD75)</f>
        <v>0</v>
      </c>
      <c r="Z75" s="517"/>
      <c r="AA75" s="517">
        <f>Summary_Services!R75</f>
        <v>0</v>
      </c>
      <c r="AB75" s="517">
        <f>Summary_Services!S75</f>
        <v>0</v>
      </c>
      <c r="AC75" s="517">
        <f>Summary_Services!T75</f>
        <v>0</v>
      </c>
      <c r="AD75" s="517">
        <f>Summary_Services!U75</f>
        <v>0</v>
      </c>
      <c r="AE75" s="517">
        <f>Summary_Services!V75</f>
        <v>0</v>
      </c>
      <c r="AF75" s="517">
        <f>Summary_Services!W75</f>
        <v>0</v>
      </c>
      <c r="AG75" s="517"/>
      <c r="AH75" s="517">
        <f t="shared" si="34"/>
        <v>0</v>
      </c>
      <c r="AI75" s="517">
        <f t="shared" si="35"/>
        <v>0</v>
      </c>
      <c r="AJ75" s="517">
        <f t="shared" si="36"/>
        <v>0</v>
      </c>
      <c r="AK75" s="517">
        <f t="shared" si="37"/>
        <v>0</v>
      </c>
      <c r="AL75" s="517">
        <f t="shared" si="38"/>
        <v>0</v>
      </c>
      <c r="AM75" s="517">
        <f t="shared" si="39"/>
        <v>0</v>
      </c>
      <c r="AN75" s="517"/>
      <c r="AO75" s="517">
        <f t="shared" si="40"/>
        <v>0</v>
      </c>
      <c r="AP75" s="517">
        <f t="shared" si="41"/>
        <v>0</v>
      </c>
      <c r="AQ75" s="517">
        <f t="shared" si="42"/>
        <v>0</v>
      </c>
      <c r="AR75" s="517">
        <f t="shared" si="43"/>
        <v>0</v>
      </c>
      <c r="AS75" s="517">
        <f t="shared" si="44"/>
        <v>0</v>
      </c>
      <c r="AT75" s="517">
        <f t="shared" si="45"/>
        <v>0</v>
      </c>
      <c r="AU75" s="517"/>
      <c r="AV75" s="517">
        <f t="shared" si="46"/>
        <v>0</v>
      </c>
      <c r="AW75" s="517">
        <f t="shared" si="47"/>
        <v>0</v>
      </c>
      <c r="AX75" s="517">
        <f t="shared" si="48"/>
        <v>0</v>
      </c>
      <c r="AY75" s="517">
        <f t="shared" si="49"/>
        <v>0</v>
      </c>
      <c r="AZ75" s="517">
        <f t="shared" si="50"/>
        <v>0</v>
      </c>
      <c r="BA75" s="517">
        <f t="shared" si="51"/>
        <v>0</v>
      </c>
      <c r="BB75" s="517"/>
      <c r="BC75" s="517" t="e">
        <f>+AH75/Demography!C$10</f>
        <v>#DIV/0!</v>
      </c>
      <c r="BD75" s="517" t="e">
        <f>+AI75/Demography!D$10</f>
        <v>#DIV/0!</v>
      </c>
      <c r="BE75" s="517" t="e">
        <f>+AJ75/Demography!E$10</f>
        <v>#DIV/0!</v>
      </c>
      <c r="BF75" s="517" t="e">
        <f>+AK75/Demography!F$10</f>
        <v>#DIV/0!</v>
      </c>
      <c r="BG75" s="517" t="e">
        <f>+AL75/Demography!G$10</f>
        <v>#DIV/0!</v>
      </c>
      <c r="BH75" s="517" t="e">
        <f>+AM75/Demography!H$10</f>
        <v>#DIV/0!</v>
      </c>
    </row>
    <row r="76" spans="1:60">
      <c r="A76" s="578">
        <v>71</v>
      </c>
      <c r="B76" s="4">
        <f>Summary_TG!B79</f>
        <v>0</v>
      </c>
      <c r="C76" s="4">
        <f>Summary_TG!C79</f>
        <v>0</v>
      </c>
      <c r="D76">
        <f>Summary_Services!E76</f>
        <v>0</v>
      </c>
      <c r="E76">
        <f>Summary_TG!G79</f>
        <v>0</v>
      </c>
      <c r="F76" s="517">
        <f t="shared" si="28"/>
        <v>0</v>
      </c>
      <c r="G76" s="517">
        <f t="shared" si="29"/>
        <v>0</v>
      </c>
      <c r="H76" s="517">
        <f t="shared" si="30"/>
        <v>0</v>
      </c>
      <c r="I76" s="517">
        <f t="shared" si="31"/>
        <v>0</v>
      </c>
      <c r="J76" s="517">
        <f t="shared" si="32"/>
        <v>0</v>
      </c>
      <c r="K76" s="517">
        <f t="shared" si="33"/>
        <v>0</v>
      </c>
      <c r="L76" s="517"/>
      <c r="M76" s="517">
        <f>IF($B76=0,0,(((VLOOKUP(Summary_Services!$F76,lookup_salaries,8,FALSE))*$E76)))</f>
        <v>0</v>
      </c>
      <c r="N76" s="517">
        <f>IF($B76=0,0,(((VLOOKUP(Summary_Services!$F76,lookup_salaries,8,FALSE))*$E76)))</f>
        <v>0</v>
      </c>
      <c r="O76" s="517">
        <f>IF($B76=0,0,(((VLOOKUP(Summary_Services!$F76,lookup_salaries,8,FALSE))*$E76)))</f>
        <v>0</v>
      </c>
      <c r="P76" s="517">
        <f>IF($B76=0,0,(((VLOOKUP(Summary_Services!$F76,lookup_salaries,8,FALSE))*$E76)))</f>
        <v>0</v>
      </c>
      <c r="Q76" s="517">
        <f>IF($B76=0,0,(((VLOOKUP(Summary_Services!$F76,lookup_salaries,8,FALSE))*$E76)))</f>
        <v>0</v>
      </c>
      <c r="R76" s="517">
        <f>IF($B76=0,0,(((VLOOKUP(Summary_Services!$F76,lookup_salaries,8,FALSE))*$E76)))</f>
        <v>0</v>
      </c>
      <c r="S76" s="517"/>
      <c r="T76" s="517">
        <f>IF(Summary_Services!Y76=0,0,Summary_TG!Q79/Summary_Services!Y76)</f>
        <v>0</v>
      </c>
      <c r="U76" s="517">
        <f>IF(Summary_Services!Z76=0,0,Summary_TG!R79/Summary_Services!Z76)</f>
        <v>0</v>
      </c>
      <c r="V76" s="517">
        <f>IF(Summary_Services!AA76=0,0,Summary_TG!S79/Summary_Services!AA76)</f>
        <v>0</v>
      </c>
      <c r="W76" s="517">
        <f>IF(Summary_Services!AB76=0,0,Summary_TG!T79/Summary_Services!AB76)</f>
        <v>0</v>
      </c>
      <c r="X76" s="517">
        <f>IF(Summary_Services!AC76=0,0,Summary_TG!U79/Summary_Services!AC76)</f>
        <v>0</v>
      </c>
      <c r="Y76" s="517">
        <f>IF(Summary_Services!AD76=0,0,Summary_TG!V79/Summary_Services!AD76)</f>
        <v>0</v>
      </c>
      <c r="Z76" s="517"/>
      <c r="AA76" s="517">
        <f>Summary_Services!R76</f>
        <v>0</v>
      </c>
      <c r="AB76" s="517">
        <f>Summary_Services!S76</f>
        <v>0</v>
      </c>
      <c r="AC76" s="517">
        <f>Summary_Services!T76</f>
        <v>0</v>
      </c>
      <c r="AD76" s="517">
        <f>Summary_Services!U76</f>
        <v>0</v>
      </c>
      <c r="AE76" s="517">
        <f>Summary_Services!V76</f>
        <v>0</v>
      </c>
      <c r="AF76" s="517">
        <f>Summary_Services!W76</f>
        <v>0</v>
      </c>
      <c r="AG76" s="517"/>
      <c r="AH76" s="517">
        <f t="shared" si="34"/>
        <v>0</v>
      </c>
      <c r="AI76" s="517">
        <f t="shared" si="35"/>
        <v>0</v>
      </c>
      <c r="AJ76" s="517">
        <f t="shared" si="36"/>
        <v>0</v>
      </c>
      <c r="AK76" s="517">
        <f t="shared" si="37"/>
        <v>0</v>
      </c>
      <c r="AL76" s="517">
        <f t="shared" si="38"/>
        <v>0</v>
      </c>
      <c r="AM76" s="517">
        <f t="shared" si="39"/>
        <v>0</v>
      </c>
      <c r="AN76" s="517"/>
      <c r="AO76" s="517">
        <f t="shared" si="40"/>
        <v>0</v>
      </c>
      <c r="AP76" s="517">
        <f t="shared" si="41"/>
        <v>0</v>
      </c>
      <c r="AQ76" s="517">
        <f t="shared" si="42"/>
        <v>0</v>
      </c>
      <c r="AR76" s="517">
        <f t="shared" si="43"/>
        <v>0</v>
      </c>
      <c r="AS76" s="517">
        <f t="shared" si="44"/>
        <v>0</v>
      </c>
      <c r="AT76" s="517">
        <f t="shared" si="45"/>
        <v>0</v>
      </c>
      <c r="AU76" s="517"/>
      <c r="AV76" s="517">
        <f t="shared" si="46"/>
        <v>0</v>
      </c>
      <c r="AW76" s="517">
        <f t="shared" si="47"/>
        <v>0</v>
      </c>
      <c r="AX76" s="517">
        <f t="shared" si="48"/>
        <v>0</v>
      </c>
      <c r="AY76" s="517">
        <f t="shared" si="49"/>
        <v>0</v>
      </c>
      <c r="AZ76" s="517">
        <f t="shared" si="50"/>
        <v>0</v>
      </c>
      <c r="BA76" s="517">
        <f t="shared" si="51"/>
        <v>0</v>
      </c>
      <c r="BB76" s="517"/>
      <c r="BC76" s="517" t="e">
        <f>+AH76/Demography!C$10</f>
        <v>#DIV/0!</v>
      </c>
      <c r="BD76" s="517" t="e">
        <f>+AI76/Demography!D$10</f>
        <v>#DIV/0!</v>
      </c>
      <c r="BE76" s="517" t="e">
        <f>+AJ76/Demography!E$10</f>
        <v>#DIV/0!</v>
      </c>
      <c r="BF76" s="517" t="e">
        <f>+AK76/Demography!F$10</f>
        <v>#DIV/0!</v>
      </c>
      <c r="BG76" s="517" t="e">
        <f>+AL76/Demography!G$10</f>
        <v>#DIV/0!</v>
      </c>
      <c r="BH76" s="517" t="e">
        <f>+AM76/Demography!H$10</f>
        <v>#DIV/0!</v>
      </c>
    </row>
    <row r="77" spans="1:60">
      <c r="A77" s="578">
        <v>72</v>
      </c>
      <c r="B77" s="4">
        <f>Summary_TG!B80</f>
        <v>0</v>
      </c>
      <c r="C77" s="4">
        <f>Summary_TG!C80</f>
        <v>0</v>
      </c>
      <c r="D77">
        <f>Summary_Services!E77</f>
        <v>0</v>
      </c>
      <c r="E77">
        <f>Summary_TG!G80</f>
        <v>0</v>
      </c>
      <c r="F77" s="517">
        <f t="shared" si="28"/>
        <v>0</v>
      </c>
      <c r="G77" s="517">
        <f t="shared" si="29"/>
        <v>0</v>
      </c>
      <c r="H77" s="517">
        <f t="shared" si="30"/>
        <v>0</v>
      </c>
      <c r="I77" s="517">
        <f t="shared" si="31"/>
        <v>0</v>
      </c>
      <c r="J77" s="517">
        <f t="shared" si="32"/>
        <v>0</v>
      </c>
      <c r="K77" s="517">
        <f t="shared" si="33"/>
        <v>0</v>
      </c>
      <c r="L77" s="517"/>
      <c r="M77" s="517">
        <f>IF($B77=0,0,(((VLOOKUP(Summary_Services!$F77,lookup_salaries,8,FALSE))*$E77)))</f>
        <v>0</v>
      </c>
      <c r="N77" s="517">
        <f>IF($B77=0,0,(((VLOOKUP(Summary_Services!$F77,lookup_salaries,8,FALSE))*$E77)))</f>
        <v>0</v>
      </c>
      <c r="O77" s="517">
        <f>IF($B77=0,0,(((VLOOKUP(Summary_Services!$F77,lookup_salaries,8,FALSE))*$E77)))</f>
        <v>0</v>
      </c>
      <c r="P77" s="517">
        <f>IF($B77=0,0,(((VLOOKUP(Summary_Services!$F77,lookup_salaries,8,FALSE))*$E77)))</f>
        <v>0</v>
      </c>
      <c r="Q77" s="517">
        <f>IF($B77=0,0,(((VLOOKUP(Summary_Services!$F77,lookup_salaries,8,FALSE))*$E77)))</f>
        <v>0</v>
      </c>
      <c r="R77" s="517">
        <f>IF($B77=0,0,(((VLOOKUP(Summary_Services!$F77,lookup_salaries,8,FALSE))*$E77)))</f>
        <v>0</v>
      </c>
      <c r="S77" s="517"/>
      <c r="T77" s="517">
        <f>IF(Summary_Services!Y77=0,0,Summary_TG!Q80/Summary_Services!Y77)</f>
        <v>0</v>
      </c>
      <c r="U77" s="517">
        <f>IF(Summary_Services!Z77=0,0,Summary_TG!R80/Summary_Services!Z77)</f>
        <v>0</v>
      </c>
      <c r="V77" s="517">
        <f>IF(Summary_Services!AA77=0,0,Summary_TG!S80/Summary_Services!AA77)</f>
        <v>0</v>
      </c>
      <c r="W77" s="517">
        <f>IF(Summary_Services!AB77=0,0,Summary_TG!T80/Summary_Services!AB77)</f>
        <v>0</v>
      </c>
      <c r="X77" s="517">
        <f>IF(Summary_Services!AC77=0,0,Summary_TG!U80/Summary_Services!AC77)</f>
        <v>0</v>
      </c>
      <c r="Y77" s="517">
        <f>IF(Summary_Services!AD77=0,0,Summary_TG!V80/Summary_Services!AD77)</f>
        <v>0</v>
      </c>
      <c r="Z77" s="517"/>
      <c r="AA77" s="517">
        <f>Summary_Services!R77</f>
        <v>0</v>
      </c>
      <c r="AB77" s="517">
        <f>Summary_Services!S77</f>
        <v>0</v>
      </c>
      <c r="AC77" s="517">
        <f>Summary_Services!T77</f>
        <v>0</v>
      </c>
      <c r="AD77" s="517">
        <f>Summary_Services!U77</f>
        <v>0</v>
      </c>
      <c r="AE77" s="517">
        <f>Summary_Services!V77</f>
        <v>0</v>
      </c>
      <c r="AF77" s="517">
        <f>Summary_Services!W77</f>
        <v>0</v>
      </c>
      <c r="AG77" s="517"/>
      <c r="AH77" s="517">
        <f t="shared" si="34"/>
        <v>0</v>
      </c>
      <c r="AI77" s="517">
        <f t="shared" si="35"/>
        <v>0</v>
      </c>
      <c r="AJ77" s="517">
        <f t="shared" si="36"/>
        <v>0</v>
      </c>
      <c r="AK77" s="517">
        <f t="shared" si="37"/>
        <v>0</v>
      </c>
      <c r="AL77" s="517">
        <f t="shared" si="38"/>
        <v>0</v>
      </c>
      <c r="AM77" s="517">
        <f t="shared" si="39"/>
        <v>0</v>
      </c>
      <c r="AN77" s="517"/>
      <c r="AO77" s="517">
        <f t="shared" si="40"/>
        <v>0</v>
      </c>
      <c r="AP77" s="517">
        <f t="shared" si="41"/>
        <v>0</v>
      </c>
      <c r="AQ77" s="517">
        <f t="shared" si="42"/>
        <v>0</v>
      </c>
      <c r="AR77" s="517">
        <f t="shared" si="43"/>
        <v>0</v>
      </c>
      <c r="AS77" s="517">
        <f t="shared" si="44"/>
        <v>0</v>
      </c>
      <c r="AT77" s="517">
        <f t="shared" si="45"/>
        <v>0</v>
      </c>
      <c r="AU77" s="517"/>
      <c r="AV77" s="517">
        <f t="shared" si="46"/>
        <v>0</v>
      </c>
      <c r="AW77" s="517">
        <f t="shared" si="47"/>
        <v>0</v>
      </c>
      <c r="AX77" s="517">
        <f t="shared" si="48"/>
        <v>0</v>
      </c>
      <c r="AY77" s="517">
        <f t="shared" si="49"/>
        <v>0</v>
      </c>
      <c r="AZ77" s="517">
        <f t="shared" si="50"/>
        <v>0</v>
      </c>
      <c r="BA77" s="517">
        <f t="shared" si="51"/>
        <v>0</v>
      </c>
      <c r="BB77" s="517"/>
      <c r="BC77" s="517" t="e">
        <f>+AH77/Demography!C$10</f>
        <v>#DIV/0!</v>
      </c>
      <c r="BD77" s="517" t="e">
        <f>+AI77/Demography!D$10</f>
        <v>#DIV/0!</v>
      </c>
      <c r="BE77" s="517" t="e">
        <f>+AJ77/Demography!E$10</f>
        <v>#DIV/0!</v>
      </c>
      <c r="BF77" s="517" t="e">
        <f>+AK77/Demography!F$10</f>
        <v>#DIV/0!</v>
      </c>
      <c r="BG77" s="517" t="e">
        <f>+AL77/Demography!G$10</f>
        <v>#DIV/0!</v>
      </c>
      <c r="BH77" s="517" t="e">
        <f>+AM77/Demography!H$10</f>
        <v>#DIV/0!</v>
      </c>
    </row>
    <row r="78" spans="1:60">
      <c r="A78" s="578">
        <v>73</v>
      </c>
      <c r="B78" s="4">
        <f>Summary_TG!B81</f>
        <v>0</v>
      </c>
      <c r="C78" s="4">
        <f>Summary_TG!C81</f>
        <v>0</v>
      </c>
      <c r="D78">
        <f>Summary_Services!E78</f>
        <v>0</v>
      </c>
      <c r="E78">
        <f>Summary_TG!G81</f>
        <v>0</v>
      </c>
      <c r="F78" s="517">
        <f t="shared" si="28"/>
        <v>0</v>
      </c>
      <c r="G78" s="517">
        <f t="shared" si="29"/>
        <v>0</v>
      </c>
      <c r="H78" s="517">
        <f t="shared" si="30"/>
        <v>0</v>
      </c>
      <c r="I78" s="517">
        <f t="shared" si="31"/>
        <v>0</v>
      </c>
      <c r="J78" s="517">
        <f t="shared" si="32"/>
        <v>0</v>
      </c>
      <c r="K78" s="517">
        <f t="shared" si="33"/>
        <v>0</v>
      </c>
      <c r="L78" s="517"/>
      <c r="M78" s="517">
        <f>IF($B78=0,0,(((VLOOKUP(Summary_Services!$F78,lookup_salaries,8,FALSE))*$E78)))</f>
        <v>0</v>
      </c>
      <c r="N78" s="517">
        <f>IF($B78=0,0,(((VLOOKUP(Summary_Services!$F78,lookup_salaries,8,FALSE))*$E78)))</f>
        <v>0</v>
      </c>
      <c r="O78" s="517">
        <f>IF($B78=0,0,(((VLOOKUP(Summary_Services!$F78,lookup_salaries,8,FALSE))*$E78)))</f>
        <v>0</v>
      </c>
      <c r="P78" s="517">
        <f>IF($B78=0,0,(((VLOOKUP(Summary_Services!$F78,lookup_salaries,8,FALSE))*$E78)))</f>
        <v>0</v>
      </c>
      <c r="Q78" s="517">
        <f>IF($B78=0,0,(((VLOOKUP(Summary_Services!$F78,lookup_salaries,8,FALSE))*$E78)))</f>
        <v>0</v>
      </c>
      <c r="R78" s="517">
        <f>IF($B78=0,0,(((VLOOKUP(Summary_Services!$F78,lookup_salaries,8,FALSE))*$E78)))</f>
        <v>0</v>
      </c>
      <c r="S78" s="517"/>
      <c r="T78" s="517">
        <f>IF(Summary_Services!Y78=0,0,Summary_TG!Q81/Summary_Services!Y78)</f>
        <v>0</v>
      </c>
      <c r="U78" s="517">
        <f>IF(Summary_Services!Z78=0,0,Summary_TG!R81/Summary_Services!Z78)</f>
        <v>0</v>
      </c>
      <c r="V78" s="517">
        <f>IF(Summary_Services!AA78=0,0,Summary_TG!S81/Summary_Services!AA78)</f>
        <v>0</v>
      </c>
      <c r="W78" s="517">
        <f>IF(Summary_Services!AB78=0,0,Summary_TG!T81/Summary_Services!AB78)</f>
        <v>0</v>
      </c>
      <c r="X78" s="517">
        <f>IF(Summary_Services!AC78=0,0,Summary_TG!U81/Summary_Services!AC78)</f>
        <v>0</v>
      </c>
      <c r="Y78" s="517">
        <f>IF(Summary_Services!AD78=0,0,Summary_TG!V81/Summary_Services!AD78)</f>
        <v>0</v>
      </c>
      <c r="Z78" s="517"/>
      <c r="AA78" s="517">
        <f>Summary_Services!R78</f>
        <v>0</v>
      </c>
      <c r="AB78" s="517">
        <f>Summary_Services!S78</f>
        <v>0</v>
      </c>
      <c r="AC78" s="517">
        <f>Summary_Services!T78</f>
        <v>0</v>
      </c>
      <c r="AD78" s="517">
        <f>Summary_Services!U78</f>
        <v>0</v>
      </c>
      <c r="AE78" s="517">
        <f>Summary_Services!V78</f>
        <v>0</v>
      </c>
      <c r="AF78" s="517">
        <f>Summary_Services!W78</f>
        <v>0</v>
      </c>
      <c r="AG78" s="517"/>
      <c r="AH78" s="517">
        <f t="shared" si="34"/>
        <v>0</v>
      </c>
      <c r="AI78" s="517">
        <f t="shared" si="35"/>
        <v>0</v>
      </c>
      <c r="AJ78" s="517">
        <f t="shared" si="36"/>
        <v>0</v>
      </c>
      <c r="AK78" s="517">
        <f t="shared" si="37"/>
        <v>0</v>
      </c>
      <c r="AL78" s="517">
        <f t="shared" si="38"/>
        <v>0</v>
      </c>
      <c r="AM78" s="517">
        <f t="shared" si="39"/>
        <v>0</v>
      </c>
      <c r="AN78" s="517"/>
      <c r="AO78" s="517">
        <f t="shared" si="40"/>
        <v>0</v>
      </c>
      <c r="AP78" s="517">
        <f t="shared" si="41"/>
        <v>0</v>
      </c>
      <c r="AQ78" s="517">
        <f t="shared" si="42"/>
        <v>0</v>
      </c>
      <c r="AR78" s="517">
        <f t="shared" si="43"/>
        <v>0</v>
      </c>
      <c r="AS78" s="517">
        <f t="shared" si="44"/>
        <v>0</v>
      </c>
      <c r="AT78" s="517">
        <f t="shared" si="45"/>
        <v>0</v>
      </c>
      <c r="AU78" s="517"/>
      <c r="AV78" s="517">
        <f t="shared" si="46"/>
        <v>0</v>
      </c>
      <c r="AW78" s="517">
        <f t="shared" si="47"/>
        <v>0</v>
      </c>
      <c r="AX78" s="517">
        <f t="shared" si="48"/>
        <v>0</v>
      </c>
      <c r="AY78" s="517">
        <f t="shared" si="49"/>
        <v>0</v>
      </c>
      <c r="AZ78" s="517">
        <f t="shared" si="50"/>
        <v>0</v>
      </c>
      <c r="BA78" s="517">
        <f t="shared" si="51"/>
        <v>0</v>
      </c>
      <c r="BB78" s="517"/>
      <c r="BC78" s="517" t="e">
        <f>+AH78/Demography!C$10</f>
        <v>#DIV/0!</v>
      </c>
      <c r="BD78" s="517" t="e">
        <f>+AI78/Demography!D$10</f>
        <v>#DIV/0!</v>
      </c>
      <c r="BE78" s="517" t="e">
        <f>+AJ78/Demography!E$10</f>
        <v>#DIV/0!</v>
      </c>
      <c r="BF78" s="517" t="e">
        <f>+AK78/Demography!F$10</f>
        <v>#DIV/0!</v>
      </c>
      <c r="BG78" s="517" t="e">
        <f>+AL78/Demography!G$10</f>
        <v>#DIV/0!</v>
      </c>
      <c r="BH78" s="517" t="e">
        <f>+AM78/Demography!H$10</f>
        <v>#DIV/0!</v>
      </c>
    </row>
    <row r="79" spans="1:60">
      <c r="A79" s="578">
        <v>74</v>
      </c>
      <c r="B79" s="4">
        <f>Summary_TG!B82</f>
        <v>0</v>
      </c>
      <c r="C79" s="4">
        <f>Summary_TG!C82</f>
        <v>0</v>
      </c>
      <c r="D79">
        <f>Summary_Services!E79</f>
        <v>0</v>
      </c>
      <c r="E79">
        <f>Summary_TG!G82</f>
        <v>0</v>
      </c>
      <c r="F79" s="517">
        <f t="shared" si="28"/>
        <v>0</v>
      </c>
      <c r="G79" s="517">
        <f t="shared" si="29"/>
        <v>0</v>
      </c>
      <c r="H79" s="517">
        <f t="shared" si="30"/>
        <v>0</v>
      </c>
      <c r="I79" s="517">
        <f t="shared" si="31"/>
        <v>0</v>
      </c>
      <c r="J79" s="517">
        <f t="shared" si="32"/>
        <v>0</v>
      </c>
      <c r="K79" s="517">
        <f t="shared" si="33"/>
        <v>0</v>
      </c>
      <c r="L79" s="517"/>
      <c r="M79" s="517">
        <f>IF($B79=0,0,(((VLOOKUP(Summary_Services!$F79,lookup_salaries,8,FALSE))*$E79)))</f>
        <v>0</v>
      </c>
      <c r="N79" s="517">
        <f>IF($B79=0,0,(((VLOOKUP(Summary_Services!$F79,lookup_salaries,8,FALSE))*$E79)))</f>
        <v>0</v>
      </c>
      <c r="O79" s="517">
        <f>IF($B79=0,0,(((VLOOKUP(Summary_Services!$F79,lookup_salaries,8,FALSE))*$E79)))</f>
        <v>0</v>
      </c>
      <c r="P79" s="517">
        <f>IF($B79=0,0,(((VLOOKUP(Summary_Services!$F79,lookup_salaries,8,FALSE))*$E79)))</f>
        <v>0</v>
      </c>
      <c r="Q79" s="517">
        <f>IF($B79=0,0,(((VLOOKUP(Summary_Services!$F79,lookup_salaries,8,FALSE))*$E79)))</f>
        <v>0</v>
      </c>
      <c r="R79" s="517">
        <f>IF($B79=0,0,(((VLOOKUP(Summary_Services!$F79,lookup_salaries,8,FALSE))*$E79)))</f>
        <v>0</v>
      </c>
      <c r="S79" s="517"/>
      <c r="T79" s="517">
        <f>IF(Summary_Services!Y79=0,0,Summary_TG!Q82/Summary_Services!Y79)</f>
        <v>0</v>
      </c>
      <c r="U79" s="517">
        <f>IF(Summary_Services!Z79=0,0,Summary_TG!R82/Summary_Services!Z79)</f>
        <v>0</v>
      </c>
      <c r="V79" s="517">
        <f>IF(Summary_Services!AA79=0,0,Summary_TG!S82/Summary_Services!AA79)</f>
        <v>0</v>
      </c>
      <c r="W79" s="517">
        <f>IF(Summary_Services!AB79=0,0,Summary_TG!T82/Summary_Services!AB79)</f>
        <v>0</v>
      </c>
      <c r="X79" s="517">
        <f>IF(Summary_Services!AC79=0,0,Summary_TG!U82/Summary_Services!AC79)</f>
        <v>0</v>
      </c>
      <c r="Y79" s="517">
        <f>IF(Summary_Services!AD79=0,0,Summary_TG!V82/Summary_Services!AD79)</f>
        <v>0</v>
      </c>
      <c r="Z79" s="517"/>
      <c r="AA79" s="517">
        <f>Summary_Services!R79</f>
        <v>0</v>
      </c>
      <c r="AB79" s="517">
        <f>Summary_Services!S79</f>
        <v>0</v>
      </c>
      <c r="AC79" s="517">
        <f>Summary_Services!T79</f>
        <v>0</v>
      </c>
      <c r="AD79" s="517">
        <f>Summary_Services!U79</f>
        <v>0</v>
      </c>
      <c r="AE79" s="517">
        <f>Summary_Services!V79</f>
        <v>0</v>
      </c>
      <c r="AF79" s="517">
        <f>Summary_Services!W79</f>
        <v>0</v>
      </c>
      <c r="AG79" s="517"/>
      <c r="AH79" s="517">
        <f t="shared" si="34"/>
        <v>0</v>
      </c>
      <c r="AI79" s="517">
        <f t="shared" si="35"/>
        <v>0</v>
      </c>
      <c r="AJ79" s="517">
        <f t="shared" si="36"/>
        <v>0</v>
      </c>
      <c r="AK79" s="517">
        <f t="shared" si="37"/>
        <v>0</v>
      </c>
      <c r="AL79" s="517">
        <f t="shared" si="38"/>
        <v>0</v>
      </c>
      <c r="AM79" s="517">
        <f t="shared" si="39"/>
        <v>0</v>
      </c>
      <c r="AN79" s="517"/>
      <c r="AO79" s="517">
        <f t="shared" si="40"/>
        <v>0</v>
      </c>
      <c r="AP79" s="517">
        <f t="shared" si="41"/>
        <v>0</v>
      </c>
      <c r="AQ79" s="517">
        <f t="shared" si="42"/>
        <v>0</v>
      </c>
      <c r="AR79" s="517">
        <f t="shared" si="43"/>
        <v>0</v>
      </c>
      <c r="AS79" s="517">
        <f t="shared" si="44"/>
        <v>0</v>
      </c>
      <c r="AT79" s="517">
        <f t="shared" si="45"/>
        <v>0</v>
      </c>
      <c r="AU79" s="517"/>
      <c r="AV79" s="517">
        <f t="shared" si="46"/>
        <v>0</v>
      </c>
      <c r="AW79" s="517">
        <f t="shared" si="47"/>
        <v>0</v>
      </c>
      <c r="AX79" s="517">
        <f t="shared" si="48"/>
        <v>0</v>
      </c>
      <c r="AY79" s="517">
        <f t="shared" si="49"/>
        <v>0</v>
      </c>
      <c r="AZ79" s="517">
        <f t="shared" si="50"/>
        <v>0</v>
      </c>
      <c r="BA79" s="517">
        <f t="shared" si="51"/>
        <v>0</v>
      </c>
      <c r="BB79" s="517"/>
      <c r="BC79" s="517" t="e">
        <f>+AH79/Demography!C$10</f>
        <v>#DIV/0!</v>
      </c>
      <c r="BD79" s="517" t="e">
        <f>+AI79/Demography!D$10</f>
        <v>#DIV/0!</v>
      </c>
      <c r="BE79" s="517" t="e">
        <f>+AJ79/Demography!E$10</f>
        <v>#DIV/0!</v>
      </c>
      <c r="BF79" s="517" t="e">
        <f>+AK79/Demography!F$10</f>
        <v>#DIV/0!</v>
      </c>
      <c r="BG79" s="517" t="e">
        <f>+AL79/Demography!G$10</f>
        <v>#DIV/0!</v>
      </c>
      <c r="BH79" s="517" t="e">
        <f>+AM79/Demography!H$10</f>
        <v>#DIV/0!</v>
      </c>
    </row>
    <row r="80" spans="1:60">
      <c r="A80" s="578">
        <v>75</v>
      </c>
      <c r="B80" s="4">
        <f>Summary_TG!B83</f>
        <v>0</v>
      </c>
      <c r="C80" s="4">
        <f>Summary_TG!C83</f>
        <v>0</v>
      </c>
      <c r="D80">
        <f>Summary_Services!E80</f>
        <v>0</v>
      </c>
      <c r="E80">
        <f>Summary_TG!G83</f>
        <v>0</v>
      </c>
      <c r="F80" s="517">
        <f t="shared" si="28"/>
        <v>0</v>
      </c>
      <c r="G80" s="517">
        <f t="shared" si="29"/>
        <v>0</v>
      </c>
      <c r="H80" s="517">
        <f t="shared" si="30"/>
        <v>0</v>
      </c>
      <c r="I80" s="517">
        <f t="shared" si="31"/>
        <v>0</v>
      </c>
      <c r="J80" s="517">
        <f t="shared" si="32"/>
        <v>0</v>
      </c>
      <c r="K80" s="517">
        <f t="shared" si="33"/>
        <v>0</v>
      </c>
      <c r="L80" s="517"/>
      <c r="M80" s="517">
        <f>IF($B80=0,0,(((VLOOKUP(Summary_Services!$F80,lookup_salaries,8,FALSE))*$E80)))</f>
        <v>0</v>
      </c>
      <c r="N80" s="517">
        <f>IF($B80=0,0,(((VLOOKUP(Summary_Services!$F80,lookup_salaries,8,FALSE))*$E80)))</f>
        <v>0</v>
      </c>
      <c r="O80" s="517">
        <f>IF($B80=0,0,(((VLOOKUP(Summary_Services!$F80,lookup_salaries,8,FALSE))*$E80)))</f>
        <v>0</v>
      </c>
      <c r="P80" s="517">
        <f>IF($B80=0,0,(((VLOOKUP(Summary_Services!$F80,lookup_salaries,8,FALSE))*$E80)))</f>
        <v>0</v>
      </c>
      <c r="Q80" s="517">
        <f>IF($B80=0,0,(((VLOOKUP(Summary_Services!$F80,lookup_salaries,8,FALSE))*$E80)))</f>
        <v>0</v>
      </c>
      <c r="R80" s="517">
        <f>IF($B80=0,0,(((VLOOKUP(Summary_Services!$F80,lookup_salaries,8,FALSE))*$E80)))</f>
        <v>0</v>
      </c>
      <c r="S80" s="517"/>
      <c r="T80" s="517">
        <f>IF(Summary_Services!Y80=0,0,Summary_TG!Q83/Summary_Services!Y80)</f>
        <v>0</v>
      </c>
      <c r="U80" s="517">
        <f>IF(Summary_Services!Z80=0,0,Summary_TG!R83/Summary_Services!Z80)</f>
        <v>0</v>
      </c>
      <c r="V80" s="517">
        <f>IF(Summary_Services!AA80=0,0,Summary_TG!S83/Summary_Services!AA80)</f>
        <v>0</v>
      </c>
      <c r="W80" s="517">
        <f>IF(Summary_Services!AB80=0,0,Summary_TG!T83/Summary_Services!AB80)</f>
        <v>0</v>
      </c>
      <c r="X80" s="517">
        <f>IF(Summary_Services!AC80=0,0,Summary_TG!U83/Summary_Services!AC80)</f>
        <v>0</v>
      </c>
      <c r="Y80" s="517">
        <f>IF(Summary_Services!AD80=0,0,Summary_TG!V83/Summary_Services!AD80)</f>
        <v>0</v>
      </c>
      <c r="Z80" s="517"/>
      <c r="AA80" s="517">
        <f>Summary_Services!R80</f>
        <v>0</v>
      </c>
      <c r="AB80" s="517">
        <f>Summary_Services!S80</f>
        <v>0</v>
      </c>
      <c r="AC80" s="517">
        <f>Summary_Services!T80</f>
        <v>0</v>
      </c>
      <c r="AD80" s="517">
        <f>Summary_Services!U80</f>
        <v>0</v>
      </c>
      <c r="AE80" s="517">
        <f>Summary_Services!V80</f>
        <v>0</v>
      </c>
      <c r="AF80" s="517">
        <f>Summary_Services!W80</f>
        <v>0</v>
      </c>
      <c r="AG80" s="517"/>
      <c r="AH80" s="517">
        <f t="shared" si="34"/>
        <v>0</v>
      </c>
      <c r="AI80" s="517">
        <f t="shared" si="35"/>
        <v>0</v>
      </c>
      <c r="AJ80" s="517">
        <f t="shared" si="36"/>
        <v>0</v>
      </c>
      <c r="AK80" s="517">
        <f t="shared" si="37"/>
        <v>0</v>
      </c>
      <c r="AL80" s="517">
        <f t="shared" si="38"/>
        <v>0</v>
      </c>
      <c r="AM80" s="517">
        <f t="shared" si="39"/>
        <v>0</v>
      </c>
      <c r="AN80" s="517"/>
      <c r="AO80" s="517">
        <f t="shared" si="40"/>
        <v>0</v>
      </c>
      <c r="AP80" s="517">
        <f t="shared" si="41"/>
        <v>0</v>
      </c>
      <c r="AQ80" s="517">
        <f t="shared" si="42"/>
        <v>0</v>
      </c>
      <c r="AR80" s="517">
        <f t="shared" si="43"/>
        <v>0</v>
      </c>
      <c r="AS80" s="517">
        <f t="shared" si="44"/>
        <v>0</v>
      </c>
      <c r="AT80" s="517">
        <f t="shared" si="45"/>
        <v>0</v>
      </c>
      <c r="AU80" s="517"/>
      <c r="AV80" s="517">
        <f t="shared" si="46"/>
        <v>0</v>
      </c>
      <c r="AW80" s="517">
        <f t="shared" si="47"/>
        <v>0</v>
      </c>
      <c r="AX80" s="517">
        <f t="shared" si="48"/>
        <v>0</v>
      </c>
      <c r="AY80" s="517">
        <f t="shared" si="49"/>
        <v>0</v>
      </c>
      <c r="AZ80" s="517">
        <f t="shared" si="50"/>
        <v>0</v>
      </c>
      <c r="BA80" s="517">
        <f t="shared" si="51"/>
        <v>0</v>
      </c>
      <c r="BB80" s="517"/>
      <c r="BC80" s="517" t="e">
        <f>+AH80/Demography!C$10</f>
        <v>#DIV/0!</v>
      </c>
      <c r="BD80" s="517" t="e">
        <f>+AI80/Demography!D$10</f>
        <v>#DIV/0!</v>
      </c>
      <c r="BE80" s="517" t="e">
        <f>+AJ80/Demography!E$10</f>
        <v>#DIV/0!</v>
      </c>
      <c r="BF80" s="517" t="e">
        <f>+AK80/Demography!F$10</f>
        <v>#DIV/0!</v>
      </c>
      <c r="BG80" s="517" t="e">
        <f>+AL80/Demography!G$10</f>
        <v>#DIV/0!</v>
      </c>
      <c r="BH80" s="517" t="e">
        <f>+AM80/Demography!H$10</f>
        <v>#DIV/0!</v>
      </c>
    </row>
    <row r="81" spans="1:60">
      <c r="A81" s="578">
        <v>76</v>
      </c>
      <c r="B81" s="4">
        <f>Summary_TG!B84</f>
        <v>0</v>
      </c>
      <c r="C81" s="4">
        <f>Summary_TG!C84</f>
        <v>0</v>
      </c>
      <c r="D81">
        <f>Summary_Services!E81</f>
        <v>0</v>
      </c>
      <c r="E81">
        <f>Summary_TG!G84</f>
        <v>0</v>
      </c>
      <c r="F81" s="517">
        <f t="shared" si="28"/>
        <v>0</v>
      </c>
      <c r="G81" s="517">
        <f t="shared" si="29"/>
        <v>0</v>
      </c>
      <c r="H81" s="517">
        <f t="shared" si="30"/>
        <v>0</v>
      </c>
      <c r="I81" s="517">
        <f t="shared" si="31"/>
        <v>0</v>
      </c>
      <c r="J81" s="517">
        <f t="shared" si="32"/>
        <v>0</v>
      </c>
      <c r="K81" s="517">
        <f t="shared" si="33"/>
        <v>0</v>
      </c>
      <c r="L81" s="517"/>
      <c r="M81" s="517">
        <f>IF($B81=0,0,(((VLOOKUP(Summary_Services!$F81,lookup_salaries,8,FALSE))*$E81)))</f>
        <v>0</v>
      </c>
      <c r="N81" s="517">
        <f>IF($B81=0,0,(((VLOOKUP(Summary_Services!$F81,lookup_salaries,8,FALSE))*$E81)))</f>
        <v>0</v>
      </c>
      <c r="O81" s="517">
        <f>IF($B81=0,0,(((VLOOKUP(Summary_Services!$F81,lookup_salaries,8,FALSE))*$E81)))</f>
        <v>0</v>
      </c>
      <c r="P81" s="517">
        <f>IF($B81=0,0,(((VLOOKUP(Summary_Services!$F81,lookup_salaries,8,FALSE))*$E81)))</f>
        <v>0</v>
      </c>
      <c r="Q81" s="517">
        <f>IF($B81=0,0,(((VLOOKUP(Summary_Services!$F81,lookup_salaries,8,FALSE))*$E81)))</f>
        <v>0</v>
      </c>
      <c r="R81" s="517">
        <f>IF($B81=0,0,(((VLOOKUP(Summary_Services!$F81,lookup_salaries,8,FALSE))*$E81)))</f>
        <v>0</v>
      </c>
      <c r="S81" s="517"/>
      <c r="T81" s="517">
        <f>IF(Summary_Services!Y81=0,0,Summary_TG!Q84/Summary_Services!Y81)</f>
        <v>0</v>
      </c>
      <c r="U81" s="517">
        <f>IF(Summary_Services!Z81=0,0,Summary_TG!R84/Summary_Services!Z81)</f>
        <v>0</v>
      </c>
      <c r="V81" s="517">
        <f>IF(Summary_Services!AA81=0,0,Summary_TG!S84/Summary_Services!AA81)</f>
        <v>0</v>
      </c>
      <c r="W81" s="517">
        <f>IF(Summary_Services!AB81=0,0,Summary_TG!T84/Summary_Services!AB81)</f>
        <v>0</v>
      </c>
      <c r="X81" s="517">
        <f>IF(Summary_Services!AC81=0,0,Summary_TG!U84/Summary_Services!AC81)</f>
        <v>0</v>
      </c>
      <c r="Y81" s="517">
        <f>IF(Summary_Services!AD81=0,0,Summary_TG!V84/Summary_Services!AD81)</f>
        <v>0</v>
      </c>
      <c r="Z81" s="517"/>
      <c r="AA81" s="517">
        <f>Summary_Services!R81</f>
        <v>0</v>
      </c>
      <c r="AB81" s="517">
        <f>Summary_Services!S81</f>
        <v>0</v>
      </c>
      <c r="AC81" s="517">
        <f>Summary_Services!T81</f>
        <v>0</v>
      </c>
      <c r="AD81" s="517">
        <f>Summary_Services!U81</f>
        <v>0</v>
      </c>
      <c r="AE81" s="517">
        <f>Summary_Services!V81</f>
        <v>0</v>
      </c>
      <c r="AF81" s="517">
        <f>Summary_Services!W81</f>
        <v>0</v>
      </c>
      <c r="AG81" s="517"/>
      <c r="AH81" s="517">
        <f t="shared" si="34"/>
        <v>0</v>
      </c>
      <c r="AI81" s="517">
        <f t="shared" si="35"/>
        <v>0</v>
      </c>
      <c r="AJ81" s="517">
        <f t="shared" si="36"/>
        <v>0</v>
      </c>
      <c r="AK81" s="517">
        <f t="shared" si="37"/>
        <v>0</v>
      </c>
      <c r="AL81" s="517">
        <f t="shared" si="38"/>
        <v>0</v>
      </c>
      <c r="AM81" s="517">
        <f t="shared" si="39"/>
        <v>0</v>
      </c>
      <c r="AN81" s="517"/>
      <c r="AO81" s="517">
        <f t="shared" si="40"/>
        <v>0</v>
      </c>
      <c r="AP81" s="517">
        <f t="shared" si="41"/>
        <v>0</v>
      </c>
      <c r="AQ81" s="517">
        <f t="shared" si="42"/>
        <v>0</v>
      </c>
      <c r="AR81" s="517">
        <f t="shared" si="43"/>
        <v>0</v>
      </c>
      <c r="AS81" s="517">
        <f t="shared" si="44"/>
        <v>0</v>
      </c>
      <c r="AT81" s="517">
        <f t="shared" si="45"/>
        <v>0</v>
      </c>
      <c r="AU81" s="517"/>
      <c r="AV81" s="517">
        <f t="shared" si="46"/>
        <v>0</v>
      </c>
      <c r="AW81" s="517">
        <f t="shared" si="47"/>
        <v>0</v>
      </c>
      <c r="AX81" s="517">
        <f t="shared" si="48"/>
        <v>0</v>
      </c>
      <c r="AY81" s="517">
        <f t="shared" si="49"/>
        <v>0</v>
      </c>
      <c r="AZ81" s="517">
        <f t="shared" si="50"/>
        <v>0</v>
      </c>
      <c r="BA81" s="517">
        <f t="shared" si="51"/>
        <v>0</v>
      </c>
      <c r="BB81" s="517"/>
      <c r="BC81" s="517" t="e">
        <f>+AH81/Demography!C$10</f>
        <v>#DIV/0!</v>
      </c>
      <c r="BD81" s="517" t="e">
        <f>+AI81/Demography!D$10</f>
        <v>#DIV/0!</v>
      </c>
      <c r="BE81" s="517" t="e">
        <f>+AJ81/Demography!E$10</f>
        <v>#DIV/0!</v>
      </c>
      <c r="BF81" s="517" t="e">
        <f>+AK81/Demography!F$10</f>
        <v>#DIV/0!</v>
      </c>
      <c r="BG81" s="517" t="e">
        <f>+AL81/Demography!G$10</f>
        <v>#DIV/0!</v>
      </c>
      <c r="BH81" s="517" t="e">
        <f>+AM81/Demography!H$10</f>
        <v>#DIV/0!</v>
      </c>
    </row>
    <row r="82" spans="1:60">
      <c r="A82" s="578">
        <v>77</v>
      </c>
      <c r="B82" s="4">
        <f>Summary_TG!B85</f>
        <v>0</v>
      </c>
      <c r="C82" s="4">
        <f>Summary_TG!C85</f>
        <v>0</v>
      </c>
      <c r="D82">
        <f>Summary_Services!E82</f>
        <v>0</v>
      </c>
      <c r="E82">
        <f>Summary_TG!G85</f>
        <v>0</v>
      </c>
      <c r="F82" s="517">
        <f t="shared" si="28"/>
        <v>0</v>
      </c>
      <c r="G82" s="517">
        <f t="shared" si="29"/>
        <v>0</v>
      </c>
      <c r="H82" s="517">
        <f t="shared" si="30"/>
        <v>0</v>
      </c>
      <c r="I82" s="517">
        <f t="shared" si="31"/>
        <v>0</v>
      </c>
      <c r="J82" s="517">
        <f t="shared" si="32"/>
        <v>0</v>
      </c>
      <c r="K82" s="517">
        <f t="shared" si="33"/>
        <v>0</v>
      </c>
      <c r="L82" s="517"/>
      <c r="M82" s="517">
        <f>IF($B82=0,0,(((VLOOKUP(Summary_Services!$F82,lookup_salaries,8,FALSE))*$E82)))</f>
        <v>0</v>
      </c>
      <c r="N82" s="517">
        <f>IF($B82=0,0,(((VLOOKUP(Summary_Services!$F82,lookup_salaries,8,FALSE))*$E82)))</f>
        <v>0</v>
      </c>
      <c r="O82" s="517">
        <f>IF($B82=0,0,(((VLOOKUP(Summary_Services!$F82,lookup_salaries,8,FALSE))*$E82)))</f>
        <v>0</v>
      </c>
      <c r="P82" s="517">
        <f>IF($B82=0,0,(((VLOOKUP(Summary_Services!$F82,lookup_salaries,8,FALSE))*$E82)))</f>
        <v>0</v>
      </c>
      <c r="Q82" s="517">
        <f>IF($B82=0,0,(((VLOOKUP(Summary_Services!$F82,lookup_salaries,8,FALSE))*$E82)))</f>
        <v>0</v>
      </c>
      <c r="R82" s="517">
        <f>IF($B82=0,0,(((VLOOKUP(Summary_Services!$F82,lookup_salaries,8,FALSE))*$E82)))</f>
        <v>0</v>
      </c>
      <c r="S82" s="517"/>
      <c r="T82" s="517">
        <f>IF(Summary_Services!Y82=0,0,Summary_TG!Q85/Summary_Services!Y82)</f>
        <v>0</v>
      </c>
      <c r="U82" s="517">
        <f>IF(Summary_Services!Z82=0,0,Summary_TG!R85/Summary_Services!Z82)</f>
        <v>0</v>
      </c>
      <c r="V82" s="517">
        <f>IF(Summary_Services!AA82=0,0,Summary_TG!S85/Summary_Services!AA82)</f>
        <v>0</v>
      </c>
      <c r="W82" s="517">
        <f>IF(Summary_Services!AB82=0,0,Summary_TG!T85/Summary_Services!AB82)</f>
        <v>0</v>
      </c>
      <c r="X82" s="517">
        <f>IF(Summary_Services!AC82=0,0,Summary_TG!U85/Summary_Services!AC82)</f>
        <v>0</v>
      </c>
      <c r="Y82" s="517">
        <f>IF(Summary_Services!AD82=0,0,Summary_TG!V85/Summary_Services!AD82)</f>
        <v>0</v>
      </c>
      <c r="Z82" s="517"/>
      <c r="AA82" s="517">
        <f>Summary_Services!R82</f>
        <v>0</v>
      </c>
      <c r="AB82" s="517">
        <f>Summary_Services!S82</f>
        <v>0</v>
      </c>
      <c r="AC82" s="517">
        <f>Summary_Services!T82</f>
        <v>0</v>
      </c>
      <c r="AD82" s="517">
        <f>Summary_Services!U82</f>
        <v>0</v>
      </c>
      <c r="AE82" s="517">
        <f>Summary_Services!V82</f>
        <v>0</v>
      </c>
      <c r="AF82" s="517">
        <f>Summary_Services!W82</f>
        <v>0</v>
      </c>
      <c r="AG82" s="517"/>
      <c r="AH82" s="517">
        <f t="shared" si="34"/>
        <v>0</v>
      </c>
      <c r="AI82" s="517">
        <f t="shared" si="35"/>
        <v>0</v>
      </c>
      <c r="AJ82" s="517">
        <f t="shared" si="36"/>
        <v>0</v>
      </c>
      <c r="AK82" s="517">
        <f t="shared" si="37"/>
        <v>0</v>
      </c>
      <c r="AL82" s="517">
        <f t="shared" si="38"/>
        <v>0</v>
      </c>
      <c r="AM82" s="517">
        <f t="shared" si="39"/>
        <v>0</v>
      </c>
      <c r="AN82" s="517"/>
      <c r="AO82" s="517">
        <f t="shared" si="40"/>
        <v>0</v>
      </c>
      <c r="AP82" s="517">
        <f t="shared" si="41"/>
        <v>0</v>
      </c>
      <c r="AQ82" s="517">
        <f t="shared" si="42"/>
        <v>0</v>
      </c>
      <c r="AR82" s="517">
        <f t="shared" si="43"/>
        <v>0</v>
      </c>
      <c r="AS82" s="517">
        <f t="shared" si="44"/>
        <v>0</v>
      </c>
      <c r="AT82" s="517">
        <f t="shared" si="45"/>
        <v>0</v>
      </c>
      <c r="AU82" s="517"/>
      <c r="AV82" s="517">
        <f t="shared" si="46"/>
        <v>0</v>
      </c>
      <c r="AW82" s="517">
        <f t="shared" si="47"/>
        <v>0</v>
      </c>
      <c r="AX82" s="517">
        <f t="shared" si="48"/>
        <v>0</v>
      </c>
      <c r="AY82" s="517">
        <f t="shared" si="49"/>
        <v>0</v>
      </c>
      <c r="AZ82" s="517">
        <f t="shared" si="50"/>
        <v>0</v>
      </c>
      <c r="BA82" s="517">
        <f t="shared" si="51"/>
        <v>0</v>
      </c>
      <c r="BB82" s="517"/>
      <c r="BC82" s="517" t="e">
        <f>+AH82/Demography!C$10</f>
        <v>#DIV/0!</v>
      </c>
      <c r="BD82" s="517" t="e">
        <f>+AI82/Demography!D$10</f>
        <v>#DIV/0!</v>
      </c>
      <c r="BE82" s="517" t="e">
        <f>+AJ82/Demography!E$10</f>
        <v>#DIV/0!</v>
      </c>
      <c r="BF82" s="517" t="e">
        <f>+AK82/Demography!F$10</f>
        <v>#DIV/0!</v>
      </c>
      <c r="BG82" s="517" t="e">
        <f>+AL82/Demography!G$10</f>
        <v>#DIV/0!</v>
      </c>
      <c r="BH82" s="517" t="e">
        <f>+AM82/Demography!H$10</f>
        <v>#DIV/0!</v>
      </c>
    </row>
    <row r="83" spans="1:60">
      <c r="A83" s="578">
        <v>78</v>
      </c>
      <c r="B83" s="4">
        <f>Summary_TG!B86</f>
        <v>0</v>
      </c>
      <c r="C83" s="4">
        <f>Summary_TG!C86</f>
        <v>0</v>
      </c>
      <c r="D83">
        <f>Summary_Services!E83</f>
        <v>0</v>
      </c>
      <c r="E83">
        <f>Summary_TG!G86</f>
        <v>0</v>
      </c>
      <c r="F83" s="517">
        <f t="shared" si="28"/>
        <v>0</v>
      </c>
      <c r="G83" s="517">
        <f t="shared" si="29"/>
        <v>0</v>
      </c>
      <c r="H83" s="517">
        <f t="shared" si="30"/>
        <v>0</v>
      </c>
      <c r="I83" s="517">
        <f t="shared" si="31"/>
        <v>0</v>
      </c>
      <c r="J83" s="517">
        <f t="shared" si="32"/>
        <v>0</v>
      </c>
      <c r="K83" s="517">
        <f t="shared" si="33"/>
        <v>0</v>
      </c>
      <c r="L83" s="517"/>
      <c r="M83" s="517">
        <f>IF($B83=0,0,(((VLOOKUP(Summary_Services!$F83,lookup_salaries,8,FALSE))*$E83)))</f>
        <v>0</v>
      </c>
      <c r="N83" s="517">
        <f>IF($B83=0,0,(((VLOOKUP(Summary_Services!$F83,lookup_salaries,8,FALSE))*$E83)))</f>
        <v>0</v>
      </c>
      <c r="O83" s="517">
        <f>IF($B83=0,0,(((VLOOKUP(Summary_Services!$F83,lookup_salaries,8,FALSE))*$E83)))</f>
        <v>0</v>
      </c>
      <c r="P83" s="517">
        <f>IF($B83=0,0,(((VLOOKUP(Summary_Services!$F83,lookup_salaries,8,FALSE))*$E83)))</f>
        <v>0</v>
      </c>
      <c r="Q83" s="517">
        <f>IF($B83=0,0,(((VLOOKUP(Summary_Services!$F83,lookup_salaries,8,FALSE))*$E83)))</f>
        <v>0</v>
      </c>
      <c r="R83" s="517">
        <f>IF($B83=0,0,(((VLOOKUP(Summary_Services!$F83,lookup_salaries,8,FALSE))*$E83)))</f>
        <v>0</v>
      </c>
      <c r="S83" s="517"/>
      <c r="T83" s="517">
        <f>IF(Summary_Services!Y83=0,0,Summary_TG!Q86/Summary_Services!Y83)</f>
        <v>0</v>
      </c>
      <c r="U83" s="517">
        <f>IF(Summary_Services!Z83=0,0,Summary_TG!R86/Summary_Services!Z83)</f>
        <v>0</v>
      </c>
      <c r="V83" s="517">
        <f>IF(Summary_Services!AA83=0,0,Summary_TG!S86/Summary_Services!AA83)</f>
        <v>0</v>
      </c>
      <c r="W83" s="517">
        <f>IF(Summary_Services!AB83=0,0,Summary_TG!T86/Summary_Services!AB83)</f>
        <v>0</v>
      </c>
      <c r="X83" s="517">
        <f>IF(Summary_Services!AC83=0,0,Summary_TG!U86/Summary_Services!AC83)</f>
        <v>0</v>
      </c>
      <c r="Y83" s="517">
        <f>IF(Summary_Services!AD83=0,0,Summary_TG!V86/Summary_Services!AD83)</f>
        <v>0</v>
      </c>
      <c r="Z83" s="517"/>
      <c r="AA83" s="517">
        <f>Summary_Services!R83</f>
        <v>0</v>
      </c>
      <c r="AB83" s="517">
        <f>Summary_Services!S83</f>
        <v>0</v>
      </c>
      <c r="AC83" s="517">
        <f>Summary_Services!T83</f>
        <v>0</v>
      </c>
      <c r="AD83" s="517">
        <f>Summary_Services!U83</f>
        <v>0</v>
      </c>
      <c r="AE83" s="517">
        <f>Summary_Services!V83</f>
        <v>0</v>
      </c>
      <c r="AF83" s="517">
        <f>Summary_Services!W83</f>
        <v>0</v>
      </c>
      <c r="AG83" s="517"/>
      <c r="AH83" s="517">
        <f t="shared" si="34"/>
        <v>0</v>
      </c>
      <c r="AI83" s="517">
        <f t="shared" si="35"/>
        <v>0</v>
      </c>
      <c r="AJ83" s="517">
        <f t="shared" si="36"/>
        <v>0</v>
      </c>
      <c r="AK83" s="517">
        <f t="shared" si="37"/>
        <v>0</v>
      </c>
      <c r="AL83" s="517">
        <f t="shared" si="38"/>
        <v>0</v>
      </c>
      <c r="AM83" s="517">
        <f t="shared" si="39"/>
        <v>0</v>
      </c>
      <c r="AN83" s="517"/>
      <c r="AO83" s="517">
        <f t="shared" si="40"/>
        <v>0</v>
      </c>
      <c r="AP83" s="517">
        <f t="shared" si="41"/>
        <v>0</v>
      </c>
      <c r="AQ83" s="517">
        <f t="shared" si="42"/>
        <v>0</v>
      </c>
      <c r="AR83" s="517">
        <f t="shared" si="43"/>
        <v>0</v>
      </c>
      <c r="AS83" s="517">
        <f t="shared" si="44"/>
        <v>0</v>
      </c>
      <c r="AT83" s="517">
        <f t="shared" si="45"/>
        <v>0</v>
      </c>
      <c r="AU83" s="517"/>
      <c r="AV83" s="517">
        <f t="shared" si="46"/>
        <v>0</v>
      </c>
      <c r="AW83" s="517">
        <f t="shared" si="47"/>
        <v>0</v>
      </c>
      <c r="AX83" s="517">
        <f t="shared" si="48"/>
        <v>0</v>
      </c>
      <c r="AY83" s="517">
        <f t="shared" si="49"/>
        <v>0</v>
      </c>
      <c r="AZ83" s="517">
        <f t="shared" si="50"/>
        <v>0</v>
      </c>
      <c r="BA83" s="517">
        <f t="shared" si="51"/>
        <v>0</v>
      </c>
      <c r="BB83" s="517"/>
      <c r="BC83" s="517" t="e">
        <f>+AH83/Demography!C$10</f>
        <v>#DIV/0!</v>
      </c>
      <c r="BD83" s="517" t="e">
        <f>+AI83/Demography!D$10</f>
        <v>#DIV/0!</v>
      </c>
      <c r="BE83" s="517" t="e">
        <f>+AJ83/Demography!E$10</f>
        <v>#DIV/0!</v>
      </c>
      <c r="BF83" s="517" t="e">
        <f>+AK83/Demography!F$10</f>
        <v>#DIV/0!</v>
      </c>
      <c r="BG83" s="517" t="e">
        <f>+AL83/Demography!G$10</f>
        <v>#DIV/0!</v>
      </c>
      <c r="BH83" s="517" t="e">
        <f>+AM83/Demography!H$10</f>
        <v>#DIV/0!</v>
      </c>
    </row>
    <row r="84" spans="1:60">
      <c r="A84" s="578">
        <v>79</v>
      </c>
      <c r="B84" s="4">
        <f>Summary_TG!B87</f>
        <v>0</v>
      </c>
      <c r="C84" s="4">
        <f>Summary_TG!C87</f>
        <v>0</v>
      </c>
      <c r="D84">
        <f>Summary_Services!E84</f>
        <v>0</v>
      </c>
      <c r="E84">
        <f>Summary_TG!G87</f>
        <v>0</v>
      </c>
      <c r="F84" s="517">
        <f t="shared" si="28"/>
        <v>0</v>
      </c>
      <c r="G84" s="517">
        <f t="shared" si="29"/>
        <v>0</v>
      </c>
      <c r="H84" s="517">
        <f t="shared" si="30"/>
        <v>0</v>
      </c>
      <c r="I84" s="517">
        <f t="shared" si="31"/>
        <v>0</v>
      </c>
      <c r="J84" s="517">
        <f t="shared" si="32"/>
        <v>0</v>
      </c>
      <c r="K84" s="517">
        <f t="shared" si="33"/>
        <v>0</v>
      </c>
      <c r="L84" s="517"/>
      <c r="M84" s="517">
        <f>IF($B84=0,0,(((VLOOKUP(Summary_Services!$F84,lookup_salaries,8,FALSE))*$E84)))</f>
        <v>0</v>
      </c>
      <c r="N84" s="517">
        <f>IF($B84=0,0,(((VLOOKUP(Summary_Services!$F84,lookup_salaries,8,FALSE))*$E84)))</f>
        <v>0</v>
      </c>
      <c r="O84" s="517">
        <f>IF($B84=0,0,(((VLOOKUP(Summary_Services!$F84,lookup_salaries,8,FALSE))*$E84)))</f>
        <v>0</v>
      </c>
      <c r="P84" s="517">
        <f>IF($B84=0,0,(((VLOOKUP(Summary_Services!$F84,lookup_salaries,8,FALSE))*$E84)))</f>
        <v>0</v>
      </c>
      <c r="Q84" s="517">
        <f>IF($B84=0,0,(((VLOOKUP(Summary_Services!$F84,lookup_salaries,8,FALSE))*$E84)))</f>
        <v>0</v>
      </c>
      <c r="R84" s="517">
        <f>IF($B84=0,0,(((VLOOKUP(Summary_Services!$F84,lookup_salaries,8,FALSE))*$E84)))</f>
        <v>0</v>
      </c>
      <c r="S84" s="517"/>
      <c r="T84" s="517">
        <f>IF(Summary_Services!Y84=0,0,Summary_TG!Q87/Summary_Services!Y84)</f>
        <v>0</v>
      </c>
      <c r="U84" s="517">
        <f>IF(Summary_Services!Z84=0,0,Summary_TG!R87/Summary_Services!Z84)</f>
        <v>0</v>
      </c>
      <c r="V84" s="517">
        <f>IF(Summary_Services!AA84=0,0,Summary_TG!S87/Summary_Services!AA84)</f>
        <v>0</v>
      </c>
      <c r="W84" s="517">
        <f>IF(Summary_Services!AB84=0,0,Summary_TG!T87/Summary_Services!AB84)</f>
        <v>0</v>
      </c>
      <c r="X84" s="517">
        <f>IF(Summary_Services!AC84=0,0,Summary_TG!U87/Summary_Services!AC84)</f>
        <v>0</v>
      </c>
      <c r="Y84" s="517">
        <f>IF(Summary_Services!AD84=0,0,Summary_TG!V87/Summary_Services!AD84)</f>
        <v>0</v>
      </c>
      <c r="Z84" s="517"/>
      <c r="AA84" s="517">
        <f>Summary_Services!R84</f>
        <v>0</v>
      </c>
      <c r="AB84" s="517">
        <f>Summary_Services!S84</f>
        <v>0</v>
      </c>
      <c r="AC84" s="517">
        <f>Summary_Services!T84</f>
        <v>0</v>
      </c>
      <c r="AD84" s="517">
        <f>Summary_Services!U84</f>
        <v>0</v>
      </c>
      <c r="AE84" s="517">
        <f>Summary_Services!V84</f>
        <v>0</v>
      </c>
      <c r="AF84" s="517">
        <f>Summary_Services!W84</f>
        <v>0</v>
      </c>
      <c r="AG84" s="517"/>
      <c r="AH84" s="517">
        <f t="shared" si="34"/>
        <v>0</v>
      </c>
      <c r="AI84" s="517">
        <f t="shared" si="35"/>
        <v>0</v>
      </c>
      <c r="AJ84" s="517">
        <f t="shared" si="36"/>
        <v>0</v>
      </c>
      <c r="AK84" s="517">
        <f t="shared" si="37"/>
        <v>0</v>
      </c>
      <c r="AL84" s="517">
        <f t="shared" si="38"/>
        <v>0</v>
      </c>
      <c r="AM84" s="517">
        <f t="shared" si="39"/>
        <v>0</v>
      </c>
      <c r="AN84" s="517"/>
      <c r="AO84" s="517">
        <f t="shared" si="40"/>
        <v>0</v>
      </c>
      <c r="AP84" s="517">
        <f t="shared" si="41"/>
        <v>0</v>
      </c>
      <c r="AQ84" s="517">
        <f t="shared" si="42"/>
        <v>0</v>
      </c>
      <c r="AR84" s="517">
        <f t="shared" si="43"/>
        <v>0</v>
      </c>
      <c r="AS84" s="517">
        <f t="shared" si="44"/>
        <v>0</v>
      </c>
      <c r="AT84" s="517">
        <f t="shared" si="45"/>
        <v>0</v>
      </c>
      <c r="AU84" s="517"/>
      <c r="AV84" s="517">
        <f t="shared" si="46"/>
        <v>0</v>
      </c>
      <c r="AW84" s="517">
        <f t="shared" si="47"/>
        <v>0</v>
      </c>
      <c r="AX84" s="517">
        <f t="shared" si="48"/>
        <v>0</v>
      </c>
      <c r="AY84" s="517">
        <f t="shared" si="49"/>
        <v>0</v>
      </c>
      <c r="AZ84" s="517">
        <f t="shared" si="50"/>
        <v>0</v>
      </c>
      <c r="BA84" s="517">
        <f t="shared" si="51"/>
        <v>0</v>
      </c>
      <c r="BB84" s="517"/>
      <c r="BC84" s="517" t="e">
        <f>+AH84/Demography!C$10</f>
        <v>#DIV/0!</v>
      </c>
      <c r="BD84" s="517" t="e">
        <f>+AI84/Demography!D$10</f>
        <v>#DIV/0!</v>
      </c>
      <c r="BE84" s="517" t="e">
        <f>+AJ84/Demography!E$10</f>
        <v>#DIV/0!</v>
      </c>
      <c r="BF84" s="517" t="e">
        <f>+AK84/Demography!F$10</f>
        <v>#DIV/0!</v>
      </c>
      <c r="BG84" s="517" t="e">
        <f>+AL84/Demography!G$10</f>
        <v>#DIV/0!</v>
      </c>
      <c r="BH84" s="517" t="e">
        <f>+AM84/Demography!H$10</f>
        <v>#DIV/0!</v>
      </c>
    </row>
    <row r="85" spans="1:60">
      <c r="A85" s="578">
        <v>80</v>
      </c>
      <c r="B85" s="4">
        <f>Summary_TG!B88</f>
        <v>0</v>
      </c>
      <c r="C85" s="4">
        <f>Summary_TG!C88</f>
        <v>0</v>
      </c>
      <c r="D85">
        <f>Summary_Services!E85</f>
        <v>0</v>
      </c>
      <c r="E85">
        <f>Summary_TG!G88</f>
        <v>0</v>
      </c>
      <c r="F85" s="517">
        <f t="shared" si="28"/>
        <v>0</v>
      </c>
      <c r="G85" s="517">
        <f t="shared" si="29"/>
        <v>0</v>
      </c>
      <c r="H85" s="517">
        <f t="shared" si="30"/>
        <v>0</v>
      </c>
      <c r="I85" s="517">
        <f t="shared" si="31"/>
        <v>0</v>
      </c>
      <c r="J85" s="517">
        <f t="shared" si="32"/>
        <v>0</v>
      </c>
      <c r="K85" s="517">
        <f t="shared" si="33"/>
        <v>0</v>
      </c>
      <c r="L85" s="517"/>
      <c r="M85" s="517">
        <f>IF($B85=0,0,(((VLOOKUP(Summary_Services!$F85,lookup_salaries,8,FALSE))*$E85)))</f>
        <v>0</v>
      </c>
      <c r="N85" s="517">
        <f>IF($B85=0,0,(((VLOOKUP(Summary_Services!$F85,lookup_salaries,8,FALSE))*$E85)))</f>
        <v>0</v>
      </c>
      <c r="O85" s="517">
        <f>IF($B85=0,0,(((VLOOKUP(Summary_Services!$F85,lookup_salaries,8,FALSE))*$E85)))</f>
        <v>0</v>
      </c>
      <c r="P85" s="517">
        <f>IF($B85=0,0,(((VLOOKUP(Summary_Services!$F85,lookup_salaries,8,FALSE))*$E85)))</f>
        <v>0</v>
      </c>
      <c r="Q85" s="517">
        <f>IF($B85=0,0,(((VLOOKUP(Summary_Services!$F85,lookup_salaries,8,FALSE))*$E85)))</f>
        <v>0</v>
      </c>
      <c r="R85" s="517">
        <f>IF($B85=0,0,(((VLOOKUP(Summary_Services!$F85,lookup_salaries,8,FALSE))*$E85)))</f>
        <v>0</v>
      </c>
      <c r="S85" s="517"/>
      <c r="T85" s="517">
        <f>IF(Summary_Services!Y85=0,0,Summary_TG!Q88/Summary_Services!Y85)</f>
        <v>0</v>
      </c>
      <c r="U85" s="517">
        <f>IF(Summary_Services!Z85=0,0,Summary_TG!R88/Summary_Services!Z85)</f>
        <v>0</v>
      </c>
      <c r="V85" s="517">
        <f>IF(Summary_Services!AA85=0,0,Summary_TG!S88/Summary_Services!AA85)</f>
        <v>0</v>
      </c>
      <c r="W85" s="517">
        <f>IF(Summary_Services!AB85=0,0,Summary_TG!T88/Summary_Services!AB85)</f>
        <v>0</v>
      </c>
      <c r="X85" s="517">
        <f>IF(Summary_Services!AC85=0,0,Summary_TG!U88/Summary_Services!AC85)</f>
        <v>0</v>
      </c>
      <c r="Y85" s="517">
        <f>IF(Summary_Services!AD85=0,0,Summary_TG!V88/Summary_Services!AD85)</f>
        <v>0</v>
      </c>
      <c r="Z85" s="517"/>
      <c r="AA85" s="517">
        <f>Summary_Services!R85</f>
        <v>0</v>
      </c>
      <c r="AB85" s="517">
        <f>Summary_Services!S85</f>
        <v>0</v>
      </c>
      <c r="AC85" s="517">
        <f>Summary_Services!T85</f>
        <v>0</v>
      </c>
      <c r="AD85" s="517">
        <f>Summary_Services!U85</f>
        <v>0</v>
      </c>
      <c r="AE85" s="517">
        <f>Summary_Services!V85</f>
        <v>0</v>
      </c>
      <c r="AF85" s="517">
        <f>Summary_Services!W85</f>
        <v>0</v>
      </c>
      <c r="AG85" s="517"/>
      <c r="AH85" s="517">
        <f t="shared" si="34"/>
        <v>0</v>
      </c>
      <c r="AI85" s="517">
        <f t="shared" si="35"/>
        <v>0</v>
      </c>
      <c r="AJ85" s="517">
        <f t="shared" si="36"/>
        <v>0</v>
      </c>
      <c r="AK85" s="517">
        <f t="shared" si="37"/>
        <v>0</v>
      </c>
      <c r="AL85" s="517">
        <f t="shared" si="38"/>
        <v>0</v>
      </c>
      <c r="AM85" s="517">
        <f t="shared" si="39"/>
        <v>0</v>
      </c>
      <c r="AN85" s="517"/>
      <c r="AO85" s="517">
        <f t="shared" si="40"/>
        <v>0</v>
      </c>
      <c r="AP85" s="517">
        <f t="shared" si="41"/>
        <v>0</v>
      </c>
      <c r="AQ85" s="517">
        <f t="shared" si="42"/>
        <v>0</v>
      </c>
      <c r="AR85" s="517">
        <f t="shared" si="43"/>
        <v>0</v>
      </c>
      <c r="AS85" s="517">
        <f t="shared" si="44"/>
        <v>0</v>
      </c>
      <c r="AT85" s="517">
        <f t="shared" si="45"/>
        <v>0</v>
      </c>
      <c r="AU85" s="517"/>
      <c r="AV85" s="517">
        <f t="shared" si="46"/>
        <v>0</v>
      </c>
      <c r="AW85" s="517">
        <f t="shared" si="47"/>
        <v>0</v>
      </c>
      <c r="AX85" s="517">
        <f t="shared" si="48"/>
        <v>0</v>
      </c>
      <c r="AY85" s="517">
        <f t="shared" si="49"/>
        <v>0</v>
      </c>
      <c r="AZ85" s="517">
        <f t="shared" si="50"/>
        <v>0</v>
      </c>
      <c r="BA85" s="517">
        <f t="shared" si="51"/>
        <v>0</v>
      </c>
      <c r="BB85" s="517"/>
      <c r="BC85" s="517" t="e">
        <f>+AH85/Demography!C$10</f>
        <v>#DIV/0!</v>
      </c>
      <c r="BD85" s="517" t="e">
        <f>+AI85/Demography!D$10</f>
        <v>#DIV/0!</v>
      </c>
      <c r="BE85" s="517" t="e">
        <f>+AJ85/Demography!E$10</f>
        <v>#DIV/0!</v>
      </c>
      <c r="BF85" s="517" t="e">
        <f>+AK85/Demography!F$10</f>
        <v>#DIV/0!</v>
      </c>
      <c r="BG85" s="517" t="e">
        <f>+AL85/Demography!G$10</f>
        <v>#DIV/0!</v>
      </c>
      <c r="BH85" s="517" t="e">
        <f>+AM85/Demography!H$10</f>
        <v>#DIV/0!</v>
      </c>
    </row>
    <row r="86" spans="1:60">
      <c r="A86" s="578">
        <v>81</v>
      </c>
      <c r="B86" s="4">
        <f>Summary_TG!B89</f>
        <v>0</v>
      </c>
      <c r="C86" s="4">
        <f>Summary_TG!C89</f>
        <v>0</v>
      </c>
      <c r="D86">
        <f>Summary_Services!E86</f>
        <v>0</v>
      </c>
      <c r="E86">
        <f>Summary_TG!G89</f>
        <v>0</v>
      </c>
      <c r="F86" s="517">
        <f t="shared" si="28"/>
        <v>0</v>
      </c>
      <c r="G86" s="517">
        <f t="shared" si="29"/>
        <v>0</v>
      </c>
      <c r="H86" s="517">
        <f t="shared" si="30"/>
        <v>0</v>
      </c>
      <c r="I86" s="517">
        <f t="shared" si="31"/>
        <v>0</v>
      </c>
      <c r="J86" s="517">
        <f t="shared" si="32"/>
        <v>0</v>
      </c>
      <c r="K86" s="517">
        <f t="shared" si="33"/>
        <v>0</v>
      </c>
      <c r="L86" s="517"/>
      <c r="M86" s="517">
        <f>IF($B86=0,0,(((VLOOKUP(Summary_Services!$F86,lookup_salaries,8,FALSE))*$E86)))</f>
        <v>0</v>
      </c>
      <c r="N86" s="517">
        <f>IF($B86=0,0,(((VLOOKUP(Summary_Services!$F86,lookup_salaries,8,FALSE))*$E86)))</f>
        <v>0</v>
      </c>
      <c r="O86" s="517">
        <f>IF($B86=0,0,(((VLOOKUP(Summary_Services!$F86,lookup_salaries,8,FALSE))*$E86)))</f>
        <v>0</v>
      </c>
      <c r="P86" s="517">
        <f>IF($B86=0,0,(((VLOOKUP(Summary_Services!$F86,lookup_salaries,8,FALSE))*$E86)))</f>
        <v>0</v>
      </c>
      <c r="Q86" s="517">
        <f>IF($B86=0,0,(((VLOOKUP(Summary_Services!$F86,lookup_salaries,8,FALSE))*$E86)))</f>
        <v>0</v>
      </c>
      <c r="R86" s="517">
        <f>IF($B86=0,0,(((VLOOKUP(Summary_Services!$F86,lookup_salaries,8,FALSE))*$E86)))</f>
        <v>0</v>
      </c>
      <c r="S86" s="517"/>
      <c r="T86" s="517">
        <f>IF(Summary_Services!Y86=0,0,Summary_TG!Q89/Summary_Services!Y86)</f>
        <v>0</v>
      </c>
      <c r="U86" s="517">
        <f>IF(Summary_Services!Z86=0,0,Summary_TG!R89/Summary_Services!Z86)</f>
        <v>0</v>
      </c>
      <c r="V86" s="517">
        <f>IF(Summary_Services!AA86=0,0,Summary_TG!S89/Summary_Services!AA86)</f>
        <v>0</v>
      </c>
      <c r="W86" s="517">
        <f>IF(Summary_Services!AB86=0,0,Summary_TG!T89/Summary_Services!AB86)</f>
        <v>0</v>
      </c>
      <c r="X86" s="517">
        <f>IF(Summary_Services!AC86=0,0,Summary_TG!U89/Summary_Services!AC86)</f>
        <v>0</v>
      </c>
      <c r="Y86" s="517">
        <f>IF(Summary_Services!AD86=0,0,Summary_TG!V89/Summary_Services!AD86)</f>
        <v>0</v>
      </c>
      <c r="Z86" s="517"/>
      <c r="AA86" s="517">
        <f>Summary_Services!R86</f>
        <v>0</v>
      </c>
      <c r="AB86" s="517">
        <f>Summary_Services!S86</f>
        <v>0</v>
      </c>
      <c r="AC86" s="517">
        <f>Summary_Services!T86</f>
        <v>0</v>
      </c>
      <c r="AD86" s="517">
        <f>Summary_Services!U86</f>
        <v>0</v>
      </c>
      <c r="AE86" s="517">
        <f>Summary_Services!V86</f>
        <v>0</v>
      </c>
      <c r="AF86" s="517">
        <f>Summary_Services!W86</f>
        <v>0</v>
      </c>
      <c r="AG86" s="517"/>
      <c r="AH86" s="517">
        <f t="shared" si="34"/>
        <v>0</v>
      </c>
      <c r="AI86" s="517">
        <f t="shared" si="35"/>
        <v>0</v>
      </c>
      <c r="AJ86" s="517">
        <f t="shared" si="36"/>
        <v>0</v>
      </c>
      <c r="AK86" s="517">
        <f t="shared" si="37"/>
        <v>0</v>
      </c>
      <c r="AL86" s="517">
        <f t="shared" si="38"/>
        <v>0</v>
      </c>
      <c r="AM86" s="517">
        <f t="shared" si="39"/>
        <v>0</v>
      </c>
      <c r="AN86" s="517"/>
      <c r="AO86" s="517">
        <f t="shared" si="40"/>
        <v>0</v>
      </c>
      <c r="AP86" s="517">
        <f t="shared" si="41"/>
        <v>0</v>
      </c>
      <c r="AQ86" s="517">
        <f t="shared" si="42"/>
        <v>0</v>
      </c>
      <c r="AR86" s="517">
        <f t="shared" si="43"/>
        <v>0</v>
      </c>
      <c r="AS86" s="517">
        <f t="shared" si="44"/>
        <v>0</v>
      </c>
      <c r="AT86" s="517">
        <f t="shared" si="45"/>
        <v>0</v>
      </c>
      <c r="AU86" s="517"/>
      <c r="AV86" s="517">
        <f t="shared" si="46"/>
        <v>0</v>
      </c>
      <c r="AW86" s="517">
        <f t="shared" si="47"/>
        <v>0</v>
      </c>
      <c r="AX86" s="517">
        <f t="shared" si="48"/>
        <v>0</v>
      </c>
      <c r="AY86" s="517">
        <f t="shared" si="49"/>
        <v>0</v>
      </c>
      <c r="AZ86" s="517">
        <f t="shared" si="50"/>
        <v>0</v>
      </c>
      <c r="BA86" s="517">
        <f t="shared" si="51"/>
        <v>0</v>
      </c>
      <c r="BB86" s="517"/>
      <c r="BC86" s="517" t="e">
        <f>+AH86/Demography!C$10</f>
        <v>#DIV/0!</v>
      </c>
      <c r="BD86" s="517" t="e">
        <f>+AI86/Demography!D$10</f>
        <v>#DIV/0!</v>
      </c>
      <c r="BE86" s="517" t="e">
        <f>+AJ86/Demography!E$10</f>
        <v>#DIV/0!</v>
      </c>
      <c r="BF86" s="517" t="e">
        <f>+AK86/Demography!F$10</f>
        <v>#DIV/0!</v>
      </c>
      <c r="BG86" s="517" t="e">
        <f>+AL86/Demography!G$10</f>
        <v>#DIV/0!</v>
      </c>
      <c r="BH86" s="517" t="e">
        <f>+AM86/Demography!H$10</f>
        <v>#DIV/0!</v>
      </c>
    </row>
    <row r="87" spans="1:60">
      <c r="A87" s="578">
        <v>82</v>
      </c>
      <c r="B87" s="4">
        <f>Summary_TG!B90</f>
        <v>0</v>
      </c>
      <c r="C87" s="4">
        <f>Summary_TG!C90</f>
        <v>0</v>
      </c>
      <c r="D87">
        <f>Summary_Services!E87</f>
        <v>0</v>
      </c>
      <c r="E87">
        <f>Summary_TG!G90</f>
        <v>0</v>
      </c>
      <c r="F87" s="517">
        <f t="shared" si="28"/>
        <v>0</v>
      </c>
      <c r="G87" s="517">
        <f t="shared" si="29"/>
        <v>0</v>
      </c>
      <c r="H87" s="517">
        <f t="shared" si="30"/>
        <v>0</v>
      </c>
      <c r="I87" s="517">
        <f t="shared" si="31"/>
        <v>0</v>
      </c>
      <c r="J87" s="517">
        <f t="shared" si="32"/>
        <v>0</v>
      </c>
      <c r="K87" s="517">
        <f t="shared" si="33"/>
        <v>0</v>
      </c>
      <c r="L87" s="517"/>
      <c r="M87" s="517">
        <f>IF($B87=0,0,(((VLOOKUP(Summary_Services!$F87,lookup_salaries,8,FALSE))*$E87)))</f>
        <v>0</v>
      </c>
      <c r="N87" s="517">
        <f>IF($B87=0,0,(((VLOOKUP(Summary_Services!$F87,lookup_salaries,8,FALSE))*$E87)))</f>
        <v>0</v>
      </c>
      <c r="O87" s="517">
        <f>IF($B87=0,0,(((VLOOKUP(Summary_Services!$F87,lookup_salaries,8,FALSE))*$E87)))</f>
        <v>0</v>
      </c>
      <c r="P87" s="517">
        <f>IF($B87=0,0,(((VLOOKUP(Summary_Services!$F87,lookup_salaries,8,FALSE))*$E87)))</f>
        <v>0</v>
      </c>
      <c r="Q87" s="517">
        <f>IF($B87=0,0,(((VLOOKUP(Summary_Services!$F87,lookup_salaries,8,FALSE))*$E87)))</f>
        <v>0</v>
      </c>
      <c r="R87" s="517">
        <f>IF($B87=0,0,(((VLOOKUP(Summary_Services!$F87,lookup_salaries,8,FALSE))*$E87)))</f>
        <v>0</v>
      </c>
      <c r="S87" s="517"/>
      <c r="T87" s="517">
        <f>IF(Summary_Services!Y87=0,0,Summary_TG!Q90/Summary_Services!Y87)</f>
        <v>0</v>
      </c>
      <c r="U87" s="517">
        <f>IF(Summary_Services!Z87=0,0,Summary_TG!R90/Summary_Services!Z87)</f>
        <v>0</v>
      </c>
      <c r="V87" s="517">
        <f>IF(Summary_Services!AA87=0,0,Summary_TG!S90/Summary_Services!AA87)</f>
        <v>0</v>
      </c>
      <c r="W87" s="517">
        <f>IF(Summary_Services!AB87=0,0,Summary_TG!T90/Summary_Services!AB87)</f>
        <v>0</v>
      </c>
      <c r="X87" s="517">
        <f>IF(Summary_Services!AC87=0,0,Summary_TG!U90/Summary_Services!AC87)</f>
        <v>0</v>
      </c>
      <c r="Y87" s="517">
        <f>IF(Summary_Services!AD87=0,0,Summary_TG!V90/Summary_Services!AD87)</f>
        <v>0</v>
      </c>
      <c r="Z87" s="517"/>
      <c r="AA87" s="517">
        <f>Summary_Services!R87</f>
        <v>0</v>
      </c>
      <c r="AB87" s="517">
        <f>Summary_Services!S87</f>
        <v>0</v>
      </c>
      <c r="AC87" s="517">
        <f>Summary_Services!T87</f>
        <v>0</v>
      </c>
      <c r="AD87" s="517">
        <f>Summary_Services!U87</f>
        <v>0</v>
      </c>
      <c r="AE87" s="517">
        <f>Summary_Services!V87</f>
        <v>0</v>
      </c>
      <c r="AF87" s="517">
        <f>Summary_Services!W87</f>
        <v>0</v>
      </c>
      <c r="AG87" s="517"/>
      <c r="AH87" s="517">
        <f t="shared" si="34"/>
        <v>0</v>
      </c>
      <c r="AI87" s="517">
        <f t="shared" si="35"/>
        <v>0</v>
      </c>
      <c r="AJ87" s="517">
        <f t="shared" si="36"/>
        <v>0</v>
      </c>
      <c r="AK87" s="517">
        <f t="shared" si="37"/>
        <v>0</v>
      </c>
      <c r="AL87" s="517">
        <f t="shared" si="38"/>
        <v>0</v>
      </c>
      <c r="AM87" s="517">
        <f t="shared" si="39"/>
        <v>0</v>
      </c>
      <c r="AN87" s="517"/>
      <c r="AO87" s="517">
        <f t="shared" si="40"/>
        <v>0</v>
      </c>
      <c r="AP87" s="517">
        <f t="shared" si="41"/>
        <v>0</v>
      </c>
      <c r="AQ87" s="517">
        <f t="shared" si="42"/>
        <v>0</v>
      </c>
      <c r="AR87" s="517">
        <f t="shared" si="43"/>
        <v>0</v>
      </c>
      <c r="AS87" s="517">
        <f t="shared" si="44"/>
        <v>0</v>
      </c>
      <c r="AT87" s="517">
        <f t="shared" si="45"/>
        <v>0</v>
      </c>
      <c r="AU87" s="517"/>
      <c r="AV87" s="517">
        <f t="shared" si="46"/>
        <v>0</v>
      </c>
      <c r="AW87" s="517">
        <f t="shared" si="47"/>
        <v>0</v>
      </c>
      <c r="AX87" s="517">
        <f t="shared" si="48"/>
        <v>0</v>
      </c>
      <c r="AY87" s="517">
        <f t="shared" si="49"/>
        <v>0</v>
      </c>
      <c r="AZ87" s="517">
        <f t="shared" si="50"/>
        <v>0</v>
      </c>
      <c r="BA87" s="517">
        <f t="shared" si="51"/>
        <v>0</v>
      </c>
      <c r="BB87" s="517"/>
      <c r="BC87" s="517" t="e">
        <f>+AH87/Demography!C$10</f>
        <v>#DIV/0!</v>
      </c>
      <c r="BD87" s="517" t="e">
        <f>+AI87/Demography!D$10</f>
        <v>#DIV/0!</v>
      </c>
      <c r="BE87" s="517" t="e">
        <f>+AJ87/Demography!E$10</f>
        <v>#DIV/0!</v>
      </c>
      <c r="BF87" s="517" t="e">
        <f>+AK87/Demography!F$10</f>
        <v>#DIV/0!</v>
      </c>
      <c r="BG87" s="517" t="e">
        <f>+AL87/Demography!G$10</f>
        <v>#DIV/0!</v>
      </c>
      <c r="BH87" s="517" t="e">
        <f>+AM87/Demography!H$10</f>
        <v>#DIV/0!</v>
      </c>
    </row>
    <row r="88" spans="1:60">
      <c r="A88" s="578">
        <v>83</v>
      </c>
      <c r="B88" s="4">
        <f>Summary_TG!B91</f>
        <v>0</v>
      </c>
      <c r="C88" s="4">
        <f>Summary_TG!C91</f>
        <v>0</v>
      </c>
      <c r="D88">
        <f>Summary_Services!E88</f>
        <v>0</v>
      </c>
      <c r="E88">
        <f>Summary_TG!G91</f>
        <v>0</v>
      </c>
      <c r="F88" s="517">
        <f t="shared" si="28"/>
        <v>0</v>
      </c>
      <c r="G88" s="517">
        <f t="shared" si="29"/>
        <v>0</v>
      </c>
      <c r="H88" s="517">
        <f t="shared" si="30"/>
        <v>0</v>
      </c>
      <c r="I88" s="517">
        <f t="shared" si="31"/>
        <v>0</v>
      </c>
      <c r="J88" s="517">
        <f t="shared" si="32"/>
        <v>0</v>
      </c>
      <c r="K88" s="517">
        <f t="shared" si="33"/>
        <v>0</v>
      </c>
      <c r="L88" s="517"/>
      <c r="M88" s="517">
        <f>IF($B88=0,0,(((VLOOKUP(Summary_Services!$F88,lookup_salaries,8,FALSE))*$E88)))</f>
        <v>0</v>
      </c>
      <c r="N88" s="517">
        <f>IF($B88=0,0,(((VLOOKUP(Summary_Services!$F88,lookup_salaries,8,FALSE))*$E88)))</f>
        <v>0</v>
      </c>
      <c r="O88" s="517">
        <f>IF($B88=0,0,(((VLOOKUP(Summary_Services!$F88,lookup_salaries,8,FALSE))*$E88)))</f>
        <v>0</v>
      </c>
      <c r="P88" s="517">
        <f>IF($B88=0,0,(((VLOOKUP(Summary_Services!$F88,lookup_salaries,8,FALSE))*$E88)))</f>
        <v>0</v>
      </c>
      <c r="Q88" s="517">
        <f>IF($B88=0,0,(((VLOOKUP(Summary_Services!$F88,lookup_salaries,8,FALSE))*$E88)))</f>
        <v>0</v>
      </c>
      <c r="R88" s="517">
        <f>IF($B88=0,0,(((VLOOKUP(Summary_Services!$F88,lookup_salaries,8,FALSE))*$E88)))</f>
        <v>0</v>
      </c>
      <c r="S88" s="517"/>
      <c r="T88" s="517">
        <f>IF(Summary_Services!Y88=0,0,Summary_TG!Q91/Summary_Services!Y88)</f>
        <v>0</v>
      </c>
      <c r="U88" s="517">
        <f>IF(Summary_Services!Z88=0,0,Summary_TG!R91/Summary_Services!Z88)</f>
        <v>0</v>
      </c>
      <c r="V88" s="517">
        <f>IF(Summary_Services!AA88=0,0,Summary_TG!S91/Summary_Services!AA88)</f>
        <v>0</v>
      </c>
      <c r="W88" s="517">
        <f>IF(Summary_Services!AB88=0,0,Summary_TG!T91/Summary_Services!AB88)</f>
        <v>0</v>
      </c>
      <c r="X88" s="517">
        <f>IF(Summary_Services!AC88=0,0,Summary_TG!U91/Summary_Services!AC88)</f>
        <v>0</v>
      </c>
      <c r="Y88" s="517">
        <f>IF(Summary_Services!AD88=0,0,Summary_TG!V91/Summary_Services!AD88)</f>
        <v>0</v>
      </c>
      <c r="Z88" s="517"/>
      <c r="AA88" s="517">
        <f>Summary_Services!R88</f>
        <v>0</v>
      </c>
      <c r="AB88" s="517">
        <f>Summary_Services!S88</f>
        <v>0</v>
      </c>
      <c r="AC88" s="517">
        <f>Summary_Services!T88</f>
        <v>0</v>
      </c>
      <c r="AD88" s="517">
        <f>Summary_Services!U88</f>
        <v>0</v>
      </c>
      <c r="AE88" s="517">
        <f>Summary_Services!V88</f>
        <v>0</v>
      </c>
      <c r="AF88" s="517">
        <f>Summary_Services!W88</f>
        <v>0</v>
      </c>
      <c r="AG88" s="517"/>
      <c r="AH88" s="517">
        <f t="shared" si="34"/>
        <v>0</v>
      </c>
      <c r="AI88" s="517">
        <f t="shared" si="35"/>
        <v>0</v>
      </c>
      <c r="AJ88" s="517">
        <f t="shared" si="36"/>
        <v>0</v>
      </c>
      <c r="AK88" s="517">
        <f t="shared" si="37"/>
        <v>0</v>
      </c>
      <c r="AL88" s="517">
        <f t="shared" si="38"/>
        <v>0</v>
      </c>
      <c r="AM88" s="517">
        <f t="shared" si="39"/>
        <v>0</v>
      </c>
      <c r="AN88" s="517"/>
      <c r="AO88" s="517">
        <f t="shared" si="40"/>
        <v>0</v>
      </c>
      <c r="AP88" s="517">
        <f t="shared" si="41"/>
        <v>0</v>
      </c>
      <c r="AQ88" s="517">
        <f t="shared" si="42"/>
        <v>0</v>
      </c>
      <c r="AR88" s="517">
        <f t="shared" si="43"/>
        <v>0</v>
      </c>
      <c r="AS88" s="517">
        <f t="shared" si="44"/>
        <v>0</v>
      </c>
      <c r="AT88" s="517">
        <f t="shared" si="45"/>
        <v>0</v>
      </c>
      <c r="AU88" s="517"/>
      <c r="AV88" s="517">
        <f t="shared" si="46"/>
        <v>0</v>
      </c>
      <c r="AW88" s="517">
        <f t="shared" si="47"/>
        <v>0</v>
      </c>
      <c r="AX88" s="517">
        <f t="shared" si="48"/>
        <v>0</v>
      </c>
      <c r="AY88" s="517">
        <f t="shared" si="49"/>
        <v>0</v>
      </c>
      <c r="AZ88" s="517">
        <f t="shared" si="50"/>
        <v>0</v>
      </c>
      <c r="BA88" s="517">
        <f t="shared" si="51"/>
        <v>0</v>
      </c>
      <c r="BB88" s="517"/>
      <c r="BC88" s="517" t="e">
        <f>+AH88/Demography!C$10</f>
        <v>#DIV/0!</v>
      </c>
      <c r="BD88" s="517" t="e">
        <f>+AI88/Demography!D$10</f>
        <v>#DIV/0!</v>
      </c>
      <c r="BE88" s="517" t="e">
        <f>+AJ88/Demography!E$10</f>
        <v>#DIV/0!</v>
      </c>
      <c r="BF88" s="517" t="e">
        <f>+AK88/Demography!F$10</f>
        <v>#DIV/0!</v>
      </c>
      <c r="BG88" s="517" t="e">
        <f>+AL88/Demography!G$10</f>
        <v>#DIV/0!</v>
      </c>
      <c r="BH88" s="517" t="e">
        <f>+AM88/Demography!H$10</f>
        <v>#DIV/0!</v>
      </c>
    </row>
    <row r="89" spans="1:60">
      <c r="A89" s="578">
        <v>84</v>
      </c>
      <c r="B89" s="4">
        <f>Summary_TG!B92</f>
        <v>0</v>
      </c>
      <c r="C89" s="4">
        <f>Summary_TG!C92</f>
        <v>0</v>
      </c>
      <c r="D89">
        <f>Summary_Services!E89</f>
        <v>0</v>
      </c>
      <c r="E89">
        <f>Summary_TG!G92</f>
        <v>0</v>
      </c>
      <c r="F89" s="517">
        <f t="shared" si="28"/>
        <v>0</v>
      </c>
      <c r="G89" s="517">
        <f t="shared" si="29"/>
        <v>0</v>
      </c>
      <c r="H89" s="517">
        <f t="shared" si="30"/>
        <v>0</v>
      </c>
      <c r="I89" s="517">
        <f t="shared" si="31"/>
        <v>0</v>
      </c>
      <c r="J89" s="517">
        <f t="shared" si="32"/>
        <v>0</v>
      </c>
      <c r="K89" s="517">
        <f t="shared" si="33"/>
        <v>0</v>
      </c>
      <c r="L89" s="517"/>
      <c r="M89" s="517">
        <f>IF($B89=0,0,(((VLOOKUP(Summary_Services!$F89,lookup_salaries,8,FALSE))*$E89)))</f>
        <v>0</v>
      </c>
      <c r="N89" s="517">
        <f>IF($B89=0,0,(((VLOOKUP(Summary_Services!$F89,lookup_salaries,8,FALSE))*$E89)))</f>
        <v>0</v>
      </c>
      <c r="O89" s="517">
        <f>IF($B89=0,0,(((VLOOKUP(Summary_Services!$F89,lookup_salaries,8,FALSE))*$E89)))</f>
        <v>0</v>
      </c>
      <c r="P89" s="517">
        <f>IF($B89=0,0,(((VLOOKUP(Summary_Services!$F89,lookup_salaries,8,FALSE))*$E89)))</f>
        <v>0</v>
      </c>
      <c r="Q89" s="517">
        <f>IF($B89=0,0,(((VLOOKUP(Summary_Services!$F89,lookup_salaries,8,FALSE))*$E89)))</f>
        <v>0</v>
      </c>
      <c r="R89" s="517">
        <f>IF($B89=0,0,(((VLOOKUP(Summary_Services!$F89,lookup_salaries,8,FALSE))*$E89)))</f>
        <v>0</v>
      </c>
      <c r="S89" s="517"/>
      <c r="T89" s="517">
        <f>IF(Summary_Services!Y89=0,0,Summary_TG!Q92/Summary_Services!Y89)</f>
        <v>0</v>
      </c>
      <c r="U89" s="517">
        <f>IF(Summary_Services!Z89=0,0,Summary_TG!R92/Summary_Services!Z89)</f>
        <v>0</v>
      </c>
      <c r="V89" s="517">
        <f>IF(Summary_Services!AA89=0,0,Summary_TG!S92/Summary_Services!AA89)</f>
        <v>0</v>
      </c>
      <c r="W89" s="517">
        <f>IF(Summary_Services!AB89=0,0,Summary_TG!T92/Summary_Services!AB89)</f>
        <v>0</v>
      </c>
      <c r="X89" s="517">
        <f>IF(Summary_Services!AC89=0,0,Summary_TG!U92/Summary_Services!AC89)</f>
        <v>0</v>
      </c>
      <c r="Y89" s="517">
        <f>IF(Summary_Services!AD89=0,0,Summary_TG!V92/Summary_Services!AD89)</f>
        <v>0</v>
      </c>
      <c r="Z89" s="517"/>
      <c r="AA89" s="517">
        <f>Summary_Services!R89</f>
        <v>0</v>
      </c>
      <c r="AB89" s="517">
        <f>Summary_Services!S89</f>
        <v>0</v>
      </c>
      <c r="AC89" s="517">
        <f>Summary_Services!T89</f>
        <v>0</v>
      </c>
      <c r="AD89" s="517">
        <f>Summary_Services!U89</f>
        <v>0</v>
      </c>
      <c r="AE89" s="517">
        <f>Summary_Services!V89</f>
        <v>0</v>
      </c>
      <c r="AF89" s="517">
        <f>Summary_Services!W89</f>
        <v>0</v>
      </c>
      <c r="AG89" s="517"/>
      <c r="AH89" s="517">
        <f t="shared" si="34"/>
        <v>0</v>
      </c>
      <c r="AI89" s="517">
        <f t="shared" si="35"/>
        <v>0</v>
      </c>
      <c r="AJ89" s="517">
        <f t="shared" si="36"/>
        <v>0</v>
      </c>
      <c r="AK89" s="517">
        <f t="shared" si="37"/>
        <v>0</v>
      </c>
      <c r="AL89" s="517">
        <f t="shared" si="38"/>
        <v>0</v>
      </c>
      <c r="AM89" s="517">
        <f t="shared" si="39"/>
        <v>0</v>
      </c>
      <c r="AN89" s="517"/>
      <c r="AO89" s="517">
        <f t="shared" si="40"/>
        <v>0</v>
      </c>
      <c r="AP89" s="517">
        <f t="shared" si="41"/>
        <v>0</v>
      </c>
      <c r="AQ89" s="517">
        <f t="shared" si="42"/>
        <v>0</v>
      </c>
      <c r="AR89" s="517">
        <f t="shared" si="43"/>
        <v>0</v>
      </c>
      <c r="AS89" s="517">
        <f t="shared" si="44"/>
        <v>0</v>
      </c>
      <c r="AT89" s="517">
        <f t="shared" si="45"/>
        <v>0</v>
      </c>
      <c r="AU89" s="517"/>
      <c r="AV89" s="517">
        <f t="shared" si="46"/>
        <v>0</v>
      </c>
      <c r="AW89" s="517">
        <f t="shared" si="47"/>
        <v>0</v>
      </c>
      <c r="AX89" s="517">
        <f t="shared" si="48"/>
        <v>0</v>
      </c>
      <c r="AY89" s="517">
        <f t="shared" si="49"/>
        <v>0</v>
      </c>
      <c r="AZ89" s="517">
        <f t="shared" si="50"/>
        <v>0</v>
      </c>
      <c r="BA89" s="517">
        <f t="shared" si="51"/>
        <v>0</v>
      </c>
      <c r="BB89" s="517"/>
      <c r="BC89" s="517" t="e">
        <f>+AH89/Demography!C$10</f>
        <v>#DIV/0!</v>
      </c>
      <c r="BD89" s="517" t="e">
        <f>+AI89/Demography!D$10</f>
        <v>#DIV/0!</v>
      </c>
      <c r="BE89" s="517" t="e">
        <f>+AJ89/Demography!E$10</f>
        <v>#DIV/0!</v>
      </c>
      <c r="BF89" s="517" t="e">
        <f>+AK89/Demography!F$10</f>
        <v>#DIV/0!</v>
      </c>
      <c r="BG89" s="517" t="e">
        <f>+AL89/Demography!G$10</f>
        <v>#DIV/0!</v>
      </c>
      <c r="BH89" s="517" t="e">
        <f>+AM89/Demography!H$10</f>
        <v>#DIV/0!</v>
      </c>
    </row>
    <row r="90" spans="1:60">
      <c r="A90" s="578">
        <v>85</v>
      </c>
      <c r="B90" s="4">
        <f>Summary_TG!B93</f>
        <v>0</v>
      </c>
      <c r="C90" s="4">
        <f>Summary_TG!C93</f>
        <v>0</v>
      </c>
      <c r="D90">
        <f>Summary_Services!E90</f>
        <v>0</v>
      </c>
      <c r="E90">
        <f>Summary_TG!G93</f>
        <v>0</v>
      </c>
      <c r="F90" s="517">
        <f t="shared" si="28"/>
        <v>0</v>
      </c>
      <c r="G90" s="517">
        <f t="shared" si="29"/>
        <v>0</v>
      </c>
      <c r="H90" s="517">
        <f t="shared" si="30"/>
        <v>0</v>
      </c>
      <c r="I90" s="517">
        <f t="shared" si="31"/>
        <v>0</v>
      </c>
      <c r="J90" s="517">
        <f t="shared" si="32"/>
        <v>0</v>
      </c>
      <c r="K90" s="517">
        <f t="shared" si="33"/>
        <v>0</v>
      </c>
      <c r="L90" s="517"/>
      <c r="M90" s="517">
        <f>IF($B90=0,0,(((VLOOKUP(Summary_Services!$F90,lookup_salaries,8,FALSE))*$E90)))</f>
        <v>0</v>
      </c>
      <c r="N90" s="517">
        <f>IF($B90=0,0,(((VLOOKUP(Summary_Services!$F90,lookup_salaries,8,FALSE))*$E90)))</f>
        <v>0</v>
      </c>
      <c r="O90" s="517">
        <f>IF($B90=0,0,(((VLOOKUP(Summary_Services!$F90,lookup_salaries,8,FALSE))*$E90)))</f>
        <v>0</v>
      </c>
      <c r="P90" s="517">
        <f>IF($B90=0,0,(((VLOOKUP(Summary_Services!$F90,lookup_salaries,8,FALSE))*$E90)))</f>
        <v>0</v>
      </c>
      <c r="Q90" s="517">
        <f>IF($B90=0,0,(((VLOOKUP(Summary_Services!$F90,lookup_salaries,8,FALSE))*$E90)))</f>
        <v>0</v>
      </c>
      <c r="R90" s="517">
        <f>IF($B90=0,0,(((VLOOKUP(Summary_Services!$F90,lookup_salaries,8,FALSE))*$E90)))</f>
        <v>0</v>
      </c>
      <c r="S90" s="517"/>
      <c r="T90" s="517">
        <f>IF(Summary_Services!Y90=0,0,Summary_TG!Q93/Summary_Services!Y90)</f>
        <v>0</v>
      </c>
      <c r="U90" s="517">
        <f>IF(Summary_Services!Z90=0,0,Summary_TG!R93/Summary_Services!Z90)</f>
        <v>0</v>
      </c>
      <c r="V90" s="517">
        <f>IF(Summary_Services!AA90=0,0,Summary_TG!S93/Summary_Services!AA90)</f>
        <v>0</v>
      </c>
      <c r="W90" s="517">
        <f>IF(Summary_Services!AB90=0,0,Summary_TG!T93/Summary_Services!AB90)</f>
        <v>0</v>
      </c>
      <c r="X90" s="517">
        <f>IF(Summary_Services!AC90=0,0,Summary_TG!U93/Summary_Services!AC90)</f>
        <v>0</v>
      </c>
      <c r="Y90" s="517">
        <f>IF(Summary_Services!AD90=0,0,Summary_TG!V93/Summary_Services!AD90)</f>
        <v>0</v>
      </c>
      <c r="Z90" s="517"/>
      <c r="AA90" s="517">
        <f>Summary_Services!R90</f>
        <v>0</v>
      </c>
      <c r="AB90" s="517">
        <f>Summary_Services!S90</f>
        <v>0</v>
      </c>
      <c r="AC90" s="517">
        <f>Summary_Services!T90</f>
        <v>0</v>
      </c>
      <c r="AD90" s="517">
        <f>Summary_Services!U90</f>
        <v>0</v>
      </c>
      <c r="AE90" s="517">
        <f>Summary_Services!V90</f>
        <v>0</v>
      </c>
      <c r="AF90" s="517">
        <f>Summary_Services!W90</f>
        <v>0</v>
      </c>
      <c r="AG90" s="517"/>
      <c r="AH90" s="517">
        <f t="shared" si="34"/>
        <v>0</v>
      </c>
      <c r="AI90" s="517">
        <f t="shared" si="35"/>
        <v>0</v>
      </c>
      <c r="AJ90" s="517">
        <f t="shared" si="36"/>
        <v>0</v>
      </c>
      <c r="AK90" s="517">
        <f t="shared" si="37"/>
        <v>0</v>
      </c>
      <c r="AL90" s="517">
        <f t="shared" si="38"/>
        <v>0</v>
      </c>
      <c r="AM90" s="517">
        <f t="shared" si="39"/>
        <v>0</v>
      </c>
      <c r="AN90" s="517"/>
      <c r="AO90" s="517">
        <f t="shared" si="40"/>
        <v>0</v>
      </c>
      <c r="AP90" s="517">
        <f t="shared" si="41"/>
        <v>0</v>
      </c>
      <c r="AQ90" s="517">
        <f t="shared" si="42"/>
        <v>0</v>
      </c>
      <c r="AR90" s="517">
        <f t="shared" si="43"/>
        <v>0</v>
      </c>
      <c r="AS90" s="517">
        <f t="shared" si="44"/>
        <v>0</v>
      </c>
      <c r="AT90" s="517">
        <f t="shared" si="45"/>
        <v>0</v>
      </c>
      <c r="AU90" s="517"/>
      <c r="AV90" s="517">
        <f t="shared" si="46"/>
        <v>0</v>
      </c>
      <c r="AW90" s="517">
        <f t="shared" si="47"/>
        <v>0</v>
      </c>
      <c r="AX90" s="517">
        <f t="shared" si="48"/>
        <v>0</v>
      </c>
      <c r="AY90" s="517">
        <f t="shared" si="49"/>
        <v>0</v>
      </c>
      <c r="AZ90" s="517">
        <f t="shared" si="50"/>
        <v>0</v>
      </c>
      <c r="BA90" s="517">
        <f t="shared" si="51"/>
        <v>0</v>
      </c>
      <c r="BB90" s="517"/>
      <c r="BC90" s="517" t="e">
        <f>+AH90/Demography!C$10</f>
        <v>#DIV/0!</v>
      </c>
      <c r="BD90" s="517" t="e">
        <f>+AI90/Demography!D$10</f>
        <v>#DIV/0!</v>
      </c>
      <c r="BE90" s="517" t="e">
        <f>+AJ90/Demography!E$10</f>
        <v>#DIV/0!</v>
      </c>
      <c r="BF90" s="517" t="e">
        <f>+AK90/Demography!F$10</f>
        <v>#DIV/0!</v>
      </c>
      <c r="BG90" s="517" t="e">
        <f>+AL90/Demography!G$10</f>
        <v>#DIV/0!</v>
      </c>
      <c r="BH90" s="517" t="e">
        <f>+AM90/Demography!H$10</f>
        <v>#DIV/0!</v>
      </c>
    </row>
    <row r="91" spans="1:60">
      <c r="A91" s="578">
        <v>86</v>
      </c>
      <c r="B91" s="4">
        <f>Summary_TG!B94</f>
        <v>0</v>
      </c>
      <c r="C91" s="4">
        <f>Summary_TG!C94</f>
        <v>0</v>
      </c>
      <c r="D91">
        <f>Summary_Services!E91</f>
        <v>0</v>
      </c>
      <c r="E91">
        <f>Summary_TG!G94</f>
        <v>0</v>
      </c>
      <c r="F91" s="517">
        <f t="shared" si="28"/>
        <v>0</v>
      </c>
      <c r="G91" s="517">
        <f t="shared" si="29"/>
        <v>0</v>
      </c>
      <c r="H91" s="517">
        <f t="shared" si="30"/>
        <v>0</v>
      </c>
      <c r="I91" s="517">
        <f t="shared" si="31"/>
        <v>0</v>
      </c>
      <c r="J91" s="517">
        <f t="shared" si="32"/>
        <v>0</v>
      </c>
      <c r="K91" s="517">
        <f t="shared" si="33"/>
        <v>0</v>
      </c>
      <c r="L91" s="517"/>
      <c r="M91" s="517">
        <f>IF($B91=0,0,(((VLOOKUP(Summary_Services!$F91,lookup_salaries,8,FALSE))*$E91)))</f>
        <v>0</v>
      </c>
      <c r="N91" s="517">
        <f>IF($B91=0,0,(((VLOOKUP(Summary_Services!$F91,lookup_salaries,8,FALSE))*$E91)))</f>
        <v>0</v>
      </c>
      <c r="O91" s="517">
        <f>IF($B91=0,0,(((VLOOKUP(Summary_Services!$F91,lookup_salaries,8,FALSE))*$E91)))</f>
        <v>0</v>
      </c>
      <c r="P91" s="517">
        <f>IF($B91=0,0,(((VLOOKUP(Summary_Services!$F91,lookup_salaries,8,FALSE))*$E91)))</f>
        <v>0</v>
      </c>
      <c r="Q91" s="517">
        <f>IF($B91=0,0,(((VLOOKUP(Summary_Services!$F91,lookup_salaries,8,FALSE))*$E91)))</f>
        <v>0</v>
      </c>
      <c r="R91" s="517">
        <f>IF($B91=0,0,(((VLOOKUP(Summary_Services!$F91,lookup_salaries,8,FALSE))*$E91)))</f>
        <v>0</v>
      </c>
      <c r="S91" s="517"/>
      <c r="T91" s="517">
        <f>IF(Summary_Services!Y91=0,0,Summary_TG!Q94/Summary_Services!Y91)</f>
        <v>0</v>
      </c>
      <c r="U91" s="517">
        <f>IF(Summary_Services!Z91=0,0,Summary_TG!R94/Summary_Services!Z91)</f>
        <v>0</v>
      </c>
      <c r="V91" s="517">
        <f>IF(Summary_Services!AA91=0,0,Summary_TG!S94/Summary_Services!AA91)</f>
        <v>0</v>
      </c>
      <c r="W91" s="517">
        <f>IF(Summary_Services!AB91=0,0,Summary_TG!T94/Summary_Services!AB91)</f>
        <v>0</v>
      </c>
      <c r="X91" s="517">
        <f>IF(Summary_Services!AC91=0,0,Summary_TG!U94/Summary_Services!AC91)</f>
        <v>0</v>
      </c>
      <c r="Y91" s="517">
        <f>IF(Summary_Services!AD91=0,0,Summary_TG!V94/Summary_Services!AD91)</f>
        <v>0</v>
      </c>
      <c r="Z91" s="517"/>
      <c r="AA91" s="517">
        <f>Summary_Services!R91</f>
        <v>0</v>
      </c>
      <c r="AB91" s="517">
        <f>Summary_Services!S91</f>
        <v>0</v>
      </c>
      <c r="AC91" s="517">
        <f>Summary_Services!T91</f>
        <v>0</v>
      </c>
      <c r="AD91" s="517">
        <f>Summary_Services!U91</f>
        <v>0</v>
      </c>
      <c r="AE91" s="517">
        <f>Summary_Services!V91</f>
        <v>0</v>
      </c>
      <c r="AF91" s="517">
        <f>Summary_Services!W91</f>
        <v>0</v>
      </c>
      <c r="AG91" s="517"/>
      <c r="AH91" s="517">
        <f t="shared" si="34"/>
        <v>0</v>
      </c>
      <c r="AI91" s="517">
        <f t="shared" si="35"/>
        <v>0</v>
      </c>
      <c r="AJ91" s="517">
        <f t="shared" si="36"/>
        <v>0</v>
      </c>
      <c r="AK91" s="517">
        <f t="shared" si="37"/>
        <v>0</v>
      </c>
      <c r="AL91" s="517">
        <f t="shared" si="38"/>
        <v>0</v>
      </c>
      <c r="AM91" s="517">
        <f t="shared" si="39"/>
        <v>0</v>
      </c>
      <c r="AN91" s="517"/>
      <c r="AO91" s="517">
        <f t="shared" si="40"/>
        <v>0</v>
      </c>
      <c r="AP91" s="517">
        <f t="shared" si="41"/>
        <v>0</v>
      </c>
      <c r="AQ91" s="517">
        <f t="shared" si="42"/>
        <v>0</v>
      </c>
      <c r="AR91" s="517">
        <f t="shared" si="43"/>
        <v>0</v>
      </c>
      <c r="AS91" s="517">
        <f t="shared" si="44"/>
        <v>0</v>
      </c>
      <c r="AT91" s="517">
        <f t="shared" si="45"/>
        <v>0</v>
      </c>
      <c r="AU91" s="517"/>
      <c r="AV91" s="517">
        <f t="shared" si="46"/>
        <v>0</v>
      </c>
      <c r="AW91" s="517">
        <f t="shared" si="47"/>
        <v>0</v>
      </c>
      <c r="AX91" s="517">
        <f t="shared" si="48"/>
        <v>0</v>
      </c>
      <c r="AY91" s="517">
        <f t="shared" si="49"/>
        <v>0</v>
      </c>
      <c r="AZ91" s="517">
        <f t="shared" si="50"/>
        <v>0</v>
      </c>
      <c r="BA91" s="517">
        <f t="shared" si="51"/>
        <v>0</v>
      </c>
      <c r="BB91" s="517"/>
      <c r="BC91" s="517" t="e">
        <f>+AH91/Demography!C$10</f>
        <v>#DIV/0!</v>
      </c>
      <c r="BD91" s="517" t="e">
        <f>+AI91/Demography!D$10</f>
        <v>#DIV/0!</v>
      </c>
      <c r="BE91" s="517" t="e">
        <f>+AJ91/Demography!E$10</f>
        <v>#DIV/0!</v>
      </c>
      <c r="BF91" s="517" t="e">
        <f>+AK91/Demography!F$10</f>
        <v>#DIV/0!</v>
      </c>
      <c r="BG91" s="517" t="e">
        <f>+AL91/Demography!G$10</f>
        <v>#DIV/0!</v>
      </c>
      <c r="BH91" s="517" t="e">
        <f>+AM91/Demography!H$10</f>
        <v>#DIV/0!</v>
      </c>
    </row>
    <row r="92" spans="1:60">
      <c r="A92" s="578">
        <v>87</v>
      </c>
      <c r="B92" s="4">
        <f>Summary_TG!B95</f>
        <v>0</v>
      </c>
      <c r="C92" s="4">
        <f>Summary_TG!C95</f>
        <v>0</v>
      </c>
      <c r="D92">
        <f>Summary_Services!E92</f>
        <v>0</v>
      </c>
      <c r="E92">
        <f>Summary_TG!G95</f>
        <v>0</v>
      </c>
      <c r="F92" s="517">
        <f t="shared" si="28"/>
        <v>0</v>
      </c>
      <c r="G92" s="517">
        <f t="shared" si="29"/>
        <v>0</v>
      </c>
      <c r="H92" s="517">
        <f t="shared" si="30"/>
        <v>0</v>
      </c>
      <c r="I92" s="517">
        <f t="shared" si="31"/>
        <v>0</v>
      </c>
      <c r="J92" s="517">
        <f t="shared" si="32"/>
        <v>0</v>
      </c>
      <c r="K92" s="517">
        <f t="shared" si="33"/>
        <v>0</v>
      </c>
      <c r="L92" s="517"/>
      <c r="M92" s="517">
        <f>IF($B92=0,0,(((VLOOKUP(Summary_Services!$F92,lookup_salaries,8,FALSE))*$E92)))</f>
        <v>0</v>
      </c>
      <c r="N92" s="517">
        <f>IF($B92=0,0,(((VLOOKUP(Summary_Services!$F92,lookup_salaries,8,FALSE))*$E92)))</f>
        <v>0</v>
      </c>
      <c r="O92" s="517">
        <f>IF($B92=0,0,(((VLOOKUP(Summary_Services!$F92,lookup_salaries,8,FALSE))*$E92)))</f>
        <v>0</v>
      </c>
      <c r="P92" s="517">
        <f>IF($B92=0,0,(((VLOOKUP(Summary_Services!$F92,lookup_salaries,8,FALSE))*$E92)))</f>
        <v>0</v>
      </c>
      <c r="Q92" s="517">
        <f>IF($B92=0,0,(((VLOOKUP(Summary_Services!$F92,lookup_salaries,8,FALSE))*$E92)))</f>
        <v>0</v>
      </c>
      <c r="R92" s="517">
        <f>IF($B92=0,0,(((VLOOKUP(Summary_Services!$F92,lookup_salaries,8,FALSE))*$E92)))</f>
        <v>0</v>
      </c>
      <c r="S92" s="517"/>
      <c r="T92" s="517">
        <f>IF(Summary_Services!Y92=0,0,Summary_TG!Q95/Summary_Services!Y92)</f>
        <v>0</v>
      </c>
      <c r="U92" s="517">
        <f>IF(Summary_Services!Z92=0,0,Summary_TG!R95/Summary_Services!Z92)</f>
        <v>0</v>
      </c>
      <c r="V92" s="517">
        <f>IF(Summary_Services!AA92=0,0,Summary_TG!S95/Summary_Services!AA92)</f>
        <v>0</v>
      </c>
      <c r="W92" s="517">
        <f>IF(Summary_Services!AB92=0,0,Summary_TG!T95/Summary_Services!AB92)</f>
        <v>0</v>
      </c>
      <c r="X92" s="517">
        <f>IF(Summary_Services!AC92=0,0,Summary_TG!U95/Summary_Services!AC92)</f>
        <v>0</v>
      </c>
      <c r="Y92" s="517">
        <f>IF(Summary_Services!AD92=0,0,Summary_TG!V95/Summary_Services!AD92)</f>
        <v>0</v>
      </c>
      <c r="Z92" s="517"/>
      <c r="AA92" s="517">
        <f>Summary_Services!R92</f>
        <v>0</v>
      </c>
      <c r="AB92" s="517">
        <f>Summary_Services!S92</f>
        <v>0</v>
      </c>
      <c r="AC92" s="517">
        <f>Summary_Services!T92</f>
        <v>0</v>
      </c>
      <c r="AD92" s="517">
        <f>Summary_Services!U92</f>
        <v>0</v>
      </c>
      <c r="AE92" s="517">
        <f>Summary_Services!V92</f>
        <v>0</v>
      </c>
      <c r="AF92" s="517">
        <f>Summary_Services!W92</f>
        <v>0</v>
      </c>
      <c r="AG92" s="517"/>
      <c r="AH92" s="517">
        <f t="shared" si="34"/>
        <v>0</v>
      </c>
      <c r="AI92" s="517">
        <f t="shared" si="35"/>
        <v>0</v>
      </c>
      <c r="AJ92" s="517">
        <f t="shared" si="36"/>
        <v>0</v>
      </c>
      <c r="AK92" s="517">
        <f t="shared" si="37"/>
        <v>0</v>
      </c>
      <c r="AL92" s="517">
        <f t="shared" si="38"/>
        <v>0</v>
      </c>
      <c r="AM92" s="517">
        <f t="shared" si="39"/>
        <v>0</v>
      </c>
      <c r="AN92" s="517"/>
      <c r="AO92" s="517">
        <f t="shared" si="40"/>
        <v>0</v>
      </c>
      <c r="AP92" s="517">
        <f t="shared" si="41"/>
        <v>0</v>
      </c>
      <c r="AQ92" s="517">
        <f t="shared" si="42"/>
        <v>0</v>
      </c>
      <c r="AR92" s="517">
        <f t="shared" si="43"/>
        <v>0</v>
      </c>
      <c r="AS92" s="517">
        <f t="shared" si="44"/>
        <v>0</v>
      </c>
      <c r="AT92" s="517">
        <f t="shared" si="45"/>
        <v>0</v>
      </c>
      <c r="AU92" s="517"/>
      <c r="AV92" s="517">
        <f t="shared" si="46"/>
        <v>0</v>
      </c>
      <c r="AW92" s="517">
        <f t="shared" si="47"/>
        <v>0</v>
      </c>
      <c r="AX92" s="517">
        <f t="shared" si="48"/>
        <v>0</v>
      </c>
      <c r="AY92" s="517">
        <f t="shared" si="49"/>
        <v>0</v>
      </c>
      <c r="AZ92" s="517">
        <f t="shared" si="50"/>
        <v>0</v>
      </c>
      <c r="BA92" s="517">
        <f t="shared" si="51"/>
        <v>0</v>
      </c>
      <c r="BB92" s="517"/>
      <c r="BC92" s="517" t="e">
        <f>+AH92/Demography!C$10</f>
        <v>#DIV/0!</v>
      </c>
      <c r="BD92" s="517" t="e">
        <f>+AI92/Demography!D$10</f>
        <v>#DIV/0!</v>
      </c>
      <c r="BE92" s="517" t="e">
        <f>+AJ92/Demography!E$10</f>
        <v>#DIV/0!</v>
      </c>
      <c r="BF92" s="517" t="e">
        <f>+AK92/Demography!F$10</f>
        <v>#DIV/0!</v>
      </c>
      <c r="BG92" s="517" t="e">
        <f>+AL92/Demography!G$10</f>
        <v>#DIV/0!</v>
      </c>
      <c r="BH92" s="517" t="e">
        <f>+AM92/Demography!H$10</f>
        <v>#DIV/0!</v>
      </c>
    </row>
    <row r="93" spans="1:60">
      <c r="A93" s="578">
        <v>88</v>
      </c>
      <c r="B93" s="4">
        <f>Summary_TG!B96</f>
        <v>0</v>
      </c>
      <c r="C93" s="4">
        <f>Summary_TG!C96</f>
        <v>0</v>
      </c>
      <c r="D93">
        <f>Summary_Services!E93</f>
        <v>0</v>
      </c>
      <c r="E93">
        <f>Summary_TG!G96</f>
        <v>0</v>
      </c>
      <c r="F93" s="517">
        <f t="shared" si="28"/>
        <v>0</v>
      </c>
      <c r="G93" s="517">
        <f t="shared" si="29"/>
        <v>0</v>
      </c>
      <c r="H93" s="517">
        <f t="shared" si="30"/>
        <v>0</v>
      </c>
      <c r="I93" s="517">
        <f t="shared" si="31"/>
        <v>0</v>
      </c>
      <c r="J93" s="517">
        <f t="shared" si="32"/>
        <v>0</v>
      </c>
      <c r="K93" s="517">
        <f t="shared" si="33"/>
        <v>0</v>
      </c>
      <c r="L93" s="517"/>
      <c r="M93" s="517">
        <f>IF($B93=0,0,(((VLOOKUP(Summary_Services!$F93,lookup_salaries,8,FALSE))*$E93)))</f>
        <v>0</v>
      </c>
      <c r="N93" s="517">
        <f>IF($B93=0,0,(((VLOOKUP(Summary_Services!$F93,lookup_salaries,8,FALSE))*$E93)))</f>
        <v>0</v>
      </c>
      <c r="O93" s="517">
        <f>IF($B93=0,0,(((VLOOKUP(Summary_Services!$F93,lookup_salaries,8,FALSE))*$E93)))</f>
        <v>0</v>
      </c>
      <c r="P93" s="517">
        <f>IF($B93=0,0,(((VLOOKUP(Summary_Services!$F93,lookup_salaries,8,FALSE))*$E93)))</f>
        <v>0</v>
      </c>
      <c r="Q93" s="517">
        <f>IF($B93=0,0,(((VLOOKUP(Summary_Services!$F93,lookup_salaries,8,FALSE))*$E93)))</f>
        <v>0</v>
      </c>
      <c r="R93" s="517">
        <f>IF($B93=0,0,(((VLOOKUP(Summary_Services!$F93,lookup_salaries,8,FALSE))*$E93)))</f>
        <v>0</v>
      </c>
      <c r="S93" s="517"/>
      <c r="T93" s="517">
        <f>IF(Summary_Services!Y93=0,0,Summary_TG!Q96/Summary_Services!Y93)</f>
        <v>0</v>
      </c>
      <c r="U93" s="517">
        <f>IF(Summary_Services!Z93=0,0,Summary_TG!R96/Summary_Services!Z93)</f>
        <v>0</v>
      </c>
      <c r="V93" s="517">
        <f>IF(Summary_Services!AA93=0,0,Summary_TG!S96/Summary_Services!AA93)</f>
        <v>0</v>
      </c>
      <c r="W93" s="517">
        <f>IF(Summary_Services!AB93=0,0,Summary_TG!T96/Summary_Services!AB93)</f>
        <v>0</v>
      </c>
      <c r="X93" s="517">
        <f>IF(Summary_Services!AC93=0,0,Summary_TG!U96/Summary_Services!AC93)</f>
        <v>0</v>
      </c>
      <c r="Y93" s="517">
        <f>IF(Summary_Services!AD93=0,0,Summary_TG!V96/Summary_Services!AD93)</f>
        <v>0</v>
      </c>
      <c r="Z93" s="517"/>
      <c r="AA93" s="517">
        <f>Summary_Services!R93</f>
        <v>0</v>
      </c>
      <c r="AB93" s="517">
        <f>Summary_Services!S93</f>
        <v>0</v>
      </c>
      <c r="AC93" s="517">
        <f>Summary_Services!T93</f>
        <v>0</v>
      </c>
      <c r="AD93" s="517">
        <f>Summary_Services!U93</f>
        <v>0</v>
      </c>
      <c r="AE93" s="517">
        <f>Summary_Services!V93</f>
        <v>0</v>
      </c>
      <c r="AF93" s="517">
        <f>Summary_Services!W93</f>
        <v>0</v>
      </c>
      <c r="AG93" s="517"/>
      <c r="AH93" s="517">
        <f t="shared" si="34"/>
        <v>0</v>
      </c>
      <c r="AI93" s="517">
        <f t="shared" si="35"/>
        <v>0</v>
      </c>
      <c r="AJ93" s="517">
        <f t="shared" si="36"/>
        <v>0</v>
      </c>
      <c r="AK93" s="517">
        <f t="shared" si="37"/>
        <v>0</v>
      </c>
      <c r="AL93" s="517">
        <f t="shared" si="38"/>
        <v>0</v>
      </c>
      <c r="AM93" s="517">
        <f t="shared" si="39"/>
        <v>0</v>
      </c>
      <c r="AN93" s="517"/>
      <c r="AO93" s="517">
        <f t="shared" si="40"/>
        <v>0</v>
      </c>
      <c r="AP93" s="517">
        <f t="shared" si="41"/>
        <v>0</v>
      </c>
      <c r="AQ93" s="517">
        <f t="shared" si="42"/>
        <v>0</v>
      </c>
      <c r="AR93" s="517">
        <f t="shared" si="43"/>
        <v>0</v>
      </c>
      <c r="AS93" s="517">
        <f t="shared" si="44"/>
        <v>0</v>
      </c>
      <c r="AT93" s="517">
        <f t="shared" si="45"/>
        <v>0</v>
      </c>
      <c r="AU93" s="517"/>
      <c r="AV93" s="517">
        <f t="shared" si="46"/>
        <v>0</v>
      </c>
      <c r="AW93" s="517">
        <f t="shared" si="47"/>
        <v>0</v>
      </c>
      <c r="AX93" s="517">
        <f t="shared" si="48"/>
        <v>0</v>
      </c>
      <c r="AY93" s="517">
        <f t="shared" si="49"/>
        <v>0</v>
      </c>
      <c r="AZ93" s="517">
        <f t="shared" si="50"/>
        <v>0</v>
      </c>
      <c r="BA93" s="517">
        <f t="shared" si="51"/>
        <v>0</v>
      </c>
      <c r="BB93" s="517"/>
      <c r="BC93" s="517" t="e">
        <f>+AH93/Demography!C$10</f>
        <v>#DIV/0!</v>
      </c>
      <c r="BD93" s="517" t="e">
        <f>+AI93/Demography!D$10</f>
        <v>#DIV/0!</v>
      </c>
      <c r="BE93" s="517" t="e">
        <f>+AJ93/Demography!E$10</f>
        <v>#DIV/0!</v>
      </c>
      <c r="BF93" s="517" t="e">
        <f>+AK93/Demography!F$10</f>
        <v>#DIV/0!</v>
      </c>
      <c r="BG93" s="517" t="e">
        <f>+AL93/Demography!G$10</f>
        <v>#DIV/0!</v>
      </c>
      <c r="BH93" s="517" t="e">
        <f>+AM93/Demography!H$10</f>
        <v>#DIV/0!</v>
      </c>
    </row>
    <row r="94" spans="1:60">
      <c r="A94" s="578">
        <v>89</v>
      </c>
      <c r="B94" s="4">
        <f>Summary_TG!B97</f>
        <v>0</v>
      </c>
      <c r="C94" s="4">
        <f>Summary_TG!C97</f>
        <v>0</v>
      </c>
      <c r="D94">
        <f>Summary_Services!E94</f>
        <v>0</v>
      </c>
      <c r="E94">
        <f>Summary_TG!G97</f>
        <v>0</v>
      </c>
      <c r="F94" s="517">
        <f t="shared" si="28"/>
        <v>0</v>
      </c>
      <c r="G94" s="517">
        <f t="shared" si="29"/>
        <v>0</v>
      </c>
      <c r="H94" s="517">
        <f t="shared" si="30"/>
        <v>0</v>
      </c>
      <c r="I94" s="517">
        <f t="shared" si="31"/>
        <v>0</v>
      </c>
      <c r="J94" s="517">
        <f t="shared" si="32"/>
        <v>0</v>
      </c>
      <c r="K94" s="517">
        <f t="shared" si="33"/>
        <v>0</v>
      </c>
      <c r="L94" s="517"/>
      <c r="M94" s="517">
        <f>IF($B94=0,0,(((VLOOKUP(Summary_Services!$F94,lookup_salaries,8,FALSE))*$E94)))</f>
        <v>0</v>
      </c>
      <c r="N94" s="517">
        <f>IF($B94=0,0,(((VLOOKUP(Summary_Services!$F94,lookup_salaries,8,FALSE))*$E94)))</f>
        <v>0</v>
      </c>
      <c r="O94" s="517">
        <f>IF($B94=0,0,(((VLOOKUP(Summary_Services!$F94,lookup_salaries,8,FALSE))*$E94)))</f>
        <v>0</v>
      </c>
      <c r="P94" s="517">
        <f>IF($B94=0,0,(((VLOOKUP(Summary_Services!$F94,lookup_salaries,8,FALSE))*$E94)))</f>
        <v>0</v>
      </c>
      <c r="Q94" s="517">
        <f>IF($B94=0,0,(((VLOOKUP(Summary_Services!$F94,lookup_salaries,8,FALSE))*$E94)))</f>
        <v>0</v>
      </c>
      <c r="R94" s="517">
        <f>IF($B94=0,0,(((VLOOKUP(Summary_Services!$F94,lookup_salaries,8,FALSE))*$E94)))</f>
        <v>0</v>
      </c>
      <c r="S94" s="517"/>
      <c r="T94" s="517">
        <f>IF(Summary_Services!Y94=0,0,Summary_TG!Q97/Summary_Services!Y94)</f>
        <v>0</v>
      </c>
      <c r="U94" s="517">
        <f>IF(Summary_Services!Z94=0,0,Summary_TG!R97/Summary_Services!Z94)</f>
        <v>0</v>
      </c>
      <c r="V94" s="517">
        <f>IF(Summary_Services!AA94=0,0,Summary_TG!S97/Summary_Services!AA94)</f>
        <v>0</v>
      </c>
      <c r="W94" s="517">
        <f>IF(Summary_Services!AB94=0,0,Summary_TG!T97/Summary_Services!AB94)</f>
        <v>0</v>
      </c>
      <c r="X94" s="517">
        <f>IF(Summary_Services!AC94=0,0,Summary_TG!U97/Summary_Services!AC94)</f>
        <v>0</v>
      </c>
      <c r="Y94" s="517">
        <f>IF(Summary_Services!AD94=0,0,Summary_TG!V97/Summary_Services!AD94)</f>
        <v>0</v>
      </c>
      <c r="Z94" s="517"/>
      <c r="AA94" s="517">
        <f>Summary_Services!R94</f>
        <v>0</v>
      </c>
      <c r="AB94" s="517">
        <f>Summary_Services!S94</f>
        <v>0</v>
      </c>
      <c r="AC94" s="517">
        <f>Summary_Services!T94</f>
        <v>0</v>
      </c>
      <c r="AD94" s="517">
        <f>Summary_Services!U94</f>
        <v>0</v>
      </c>
      <c r="AE94" s="517">
        <f>Summary_Services!V94</f>
        <v>0</v>
      </c>
      <c r="AF94" s="517">
        <f>Summary_Services!W94</f>
        <v>0</v>
      </c>
      <c r="AG94" s="517"/>
      <c r="AH94" s="517">
        <f t="shared" si="34"/>
        <v>0</v>
      </c>
      <c r="AI94" s="517">
        <f t="shared" si="35"/>
        <v>0</v>
      </c>
      <c r="AJ94" s="517">
        <f t="shared" si="36"/>
        <v>0</v>
      </c>
      <c r="AK94" s="517">
        <f t="shared" si="37"/>
        <v>0</v>
      </c>
      <c r="AL94" s="517">
        <f t="shared" si="38"/>
        <v>0</v>
      </c>
      <c r="AM94" s="517">
        <f t="shared" si="39"/>
        <v>0</v>
      </c>
      <c r="AN94" s="517"/>
      <c r="AO94" s="517">
        <f t="shared" si="40"/>
        <v>0</v>
      </c>
      <c r="AP94" s="517">
        <f t="shared" si="41"/>
        <v>0</v>
      </c>
      <c r="AQ94" s="517">
        <f t="shared" si="42"/>
        <v>0</v>
      </c>
      <c r="AR94" s="517">
        <f t="shared" si="43"/>
        <v>0</v>
      </c>
      <c r="AS94" s="517">
        <f t="shared" si="44"/>
        <v>0</v>
      </c>
      <c r="AT94" s="517">
        <f t="shared" si="45"/>
        <v>0</v>
      </c>
      <c r="AU94" s="517"/>
      <c r="AV94" s="517">
        <f t="shared" si="46"/>
        <v>0</v>
      </c>
      <c r="AW94" s="517">
        <f t="shared" si="47"/>
        <v>0</v>
      </c>
      <c r="AX94" s="517">
        <f t="shared" si="48"/>
        <v>0</v>
      </c>
      <c r="AY94" s="517">
        <f t="shared" si="49"/>
        <v>0</v>
      </c>
      <c r="AZ94" s="517">
        <f t="shared" si="50"/>
        <v>0</v>
      </c>
      <c r="BA94" s="517">
        <f t="shared" si="51"/>
        <v>0</v>
      </c>
      <c r="BB94" s="517"/>
      <c r="BC94" s="517" t="e">
        <f>+AH94/Demography!C$10</f>
        <v>#DIV/0!</v>
      </c>
      <c r="BD94" s="517" t="e">
        <f>+AI94/Demography!D$10</f>
        <v>#DIV/0!</v>
      </c>
      <c r="BE94" s="517" t="e">
        <f>+AJ94/Demography!E$10</f>
        <v>#DIV/0!</v>
      </c>
      <c r="BF94" s="517" t="e">
        <f>+AK94/Demography!F$10</f>
        <v>#DIV/0!</v>
      </c>
      <c r="BG94" s="517" t="e">
        <f>+AL94/Demography!G$10</f>
        <v>#DIV/0!</v>
      </c>
      <c r="BH94" s="517" t="e">
        <f>+AM94/Demography!H$10</f>
        <v>#DIV/0!</v>
      </c>
    </row>
    <row r="95" spans="1:60">
      <c r="A95" s="578">
        <v>90</v>
      </c>
      <c r="B95" s="4">
        <f>Summary_TG!B98</f>
        <v>0</v>
      </c>
      <c r="C95" s="4">
        <f>Summary_TG!C98</f>
        <v>0</v>
      </c>
      <c r="D95">
        <f>Summary_Services!E95</f>
        <v>0</v>
      </c>
      <c r="E95">
        <f>Summary_TG!G98</f>
        <v>0</v>
      </c>
      <c r="F95" s="517">
        <f t="shared" si="28"/>
        <v>0</v>
      </c>
      <c r="G95" s="517">
        <f t="shared" si="29"/>
        <v>0</v>
      </c>
      <c r="H95" s="517">
        <f t="shared" si="30"/>
        <v>0</v>
      </c>
      <c r="I95" s="517">
        <f t="shared" si="31"/>
        <v>0</v>
      </c>
      <c r="J95" s="517">
        <f t="shared" si="32"/>
        <v>0</v>
      </c>
      <c r="K95" s="517">
        <f t="shared" si="33"/>
        <v>0</v>
      </c>
      <c r="L95" s="517"/>
      <c r="M95" s="517">
        <f>IF($B95=0,0,(((VLOOKUP(Summary_Services!$F95,lookup_salaries,8,FALSE))*$E95)))</f>
        <v>0</v>
      </c>
      <c r="N95" s="517">
        <f>IF($B95=0,0,(((VLOOKUP(Summary_Services!$F95,lookup_salaries,8,FALSE))*$E95)))</f>
        <v>0</v>
      </c>
      <c r="O95" s="517">
        <f>IF($B95=0,0,(((VLOOKUP(Summary_Services!$F95,lookup_salaries,8,FALSE))*$E95)))</f>
        <v>0</v>
      </c>
      <c r="P95" s="517">
        <f>IF($B95=0,0,(((VLOOKUP(Summary_Services!$F95,lookup_salaries,8,FALSE))*$E95)))</f>
        <v>0</v>
      </c>
      <c r="Q95" s="517">
        <f>IF($B95=0,0,(((VLOOKUP(Summary_Services!$F95,lookup_salaries,8,FALSE))*$E95)))</f>
        <v>0</v>
      </c>
      <c r="R95" s="517">
        <f>IF($B95=0,0,(((VLOOKUP(Summary_Services!$F95,lookup_salaries,8,FALSE))*$E95)))</f>
        <v>0</v>
      </c>
      <c r="S95" s="517"/>
      <c r="T95" s="517">
        <f>IF(Summary_Services!Y95=0,0,Summary_TG!Q98/Summary_Services!Y95)</f>
        <v>0</v>
      </c>
      <c r="U95" s="517">
        <f>IF(Summary_Services!Z95=0,0,Summary_TG!R98/Summary_Services!Z95)</f>
        <v>0</v>
      </c>
      <c r="V95" s="517">
        <f>IF(Summary_Services!AA95=0,0,Summary_TG!S98/Summary_Services!AA95)</f>
        <v>0</v>
      </c>
      <c r="W95" s="517">
        <f>IF(Summary_Services!AB95=0,0,Summary_TG!T98/Summary_Services!AB95)</f>
        <v>0</v>
      </c>
      <c r="X95" s="517">
        <f>IF(Summary_Services!AC95=0,0,Summary_TG!U98/Summary_Services!AC95)</f>
        <v>0</v>
      </c>
      <c r="Y95" s="517">
        <f>IF(Summary_Services!AD95=0,0,Summary_TG!V98/Summary_Services!AD95)</f>
        <v>0</v>
      </c>
      <c r="Z95" s="517"/>
      <c r="AA95" s="517">
        <f>Summary_Services!R95</f>
        <v>0</v>
      </c>
      <c r="AB95" s="517">
        <f>Summary_Services!S95</f>
        <v>0</v>
      </c>
      <c r="AC95" s="517">
        <f>Summary_Services!T95</f>
        <v>0</v>
      </c>
      <c r="AD95" s="517">
        <f>Summary_Services!U95</f>
        <v>0</v>
      </c>
      <c r="AE95" s="517">
        <f>Summary_Services!V95</f>
        <v>0</v>
      </c>
      <c r="AF95" s="517">
        <f>Summary_Services!W95</f>
        <v>0</v>
      </c>
      <c r="AG95" s="517"/>
      <c r="AH95" s="517">
        <f t="shared" si="34"/>
        <v>0</v>
      </c>
      <c r="AI95" s="517">
        <f t="shared" si="35"/>
        <v>0</v>
      </c>
      <c r="AJ95" s="517">
        <f t="shared" si="36"/>
        <v>0</v>
      </c>
      <c r="AK95" s="517">
        <f t="shared" si="37"/>
        <v>0</v>
      </c>
      <c r="AL95" s="517">
        <f t="shared" si="38"/>
        <v>0</v>
      </c>
      <c r="AM95" s="517">
        <f t="shared" si="39"/>
        <v>0</v>
      </c>
      <c r="AN95" s="517"/>
      <c r="AO95" s="517">
        <f t="shared" si="40"/>
        <v>0</v>
      </c>
      <c r="AP95" s="517">
        <f t="shared" si="41"/>
        <v>0</v>
      </c>
      <c r="AQ95" s="517">
        <f t="shared" si="42"/>
        <v>0</v>
      </c>
      <c r="AR95" s="517">
        <f t="shared" si="43"/>
        <v>0</v>
      </c>
      <c r="AS95" s="517">
        <f t="shared" si="44"/>
        <v>0</v>
      </c>
      <c r="AT95" s="517">
        <f t="shared" si="45"/>
        <v>0</v>
      </c>
      <c r="AU95" s="517"/>
      <c r="AV95" s="517">
        <f t="shared" si="46"/>
        <v>0</v>
      </c>
      <c r="AW95" s="517">
        <f t="shared" si="47"/>
        <v>0</v>
      </c>
      <c r="AX95" s="517">
        <f t="shared" si="48"/>
        <v>0</v>
      </c>
      <c r="AY95" s="517">
        <f t="shared" si="49"/>
        <v>0</v>
      </c>
      <c r="AZ95" s="517">
        <f t="shared" si="50"/>
        <v>0</v>
      </c>
      <c r="BA95" s="517">
        <f t="shared" si="51"/>
        <v>0</v>
      </c>
      <c r="BB95" s="517"/>
      <c r="BC95" s="517" t="e">
        <f>+AH95/Demography!C$10</f>
        <v>#DIV/0!</v>
      </c>
      <c r="BD95" s="517" t="e">
        <f>+AI95/Demography!D$10</f>
        <v>#DIV/0!</v>
      </c>
      <c r="BE95" s="517" t="e">
        <f>+AJ95/Demography!E$10</f>
        <v>#DIV/0!</v>
      </c>
      <c r="BF95" s="517" t="e">
        <f>+AK95/Demography!F$10</f>
        <v>#DIV/0!</v>
      </c>
      <c r="BG95" s="517" t="e">
        <f>+AL95/Demography!G$10</f>
        <v>#DIV/0!</v>
      </c>
      <c r="BH95" s="517" t="e">
        <f>+AM95/Demography!H$10</f>
        <v>#DIV/0!</v>
      </c>
    </row>
    <row r="96" spans="1:60">
      <c r="A96" s="578">
        <v>91</v>
      </c>
      <c r="B96" s="4">
        <f>Summary_TG!B99</f>
        <v>0</v>
      </c>
      <c r="C96" s="4">
        <f>Summary_TG!C99</f>
        <v>0</v>
      </c>
      <c r="D96">
        <f>Summary_Services!E96</f>
        <v>0</v>
      </c>
      <c r="E96">
        <f>Summary_TG!G99</f>
        <v>0</v>
      </c>
      <c r="F96" s="517">
        <f t="shared" si="28"/>
        <v>0</v>
      </c>
      <c r="G96" s="517">
        <f t="shared" si="29"/>
        <v>0</v>
      </c>
      <c r="H96" s="517">
        <f t="shared" si="30"/>
        <v>0</v>
      </c>
      <c r="I96" s="517">
        <f t="shared" si="31"/>
        <v>0</v>
      </c>
      <c r="J96" s="517">
        <f t="shared" si="32"/>
        <v>0</v>
      </c>
      <c r="K96" s="517">
        <f t="shared" si="33"/>
        <v>0</v>
      </c>
      <c r="L96" s="517"/>
      <c r="M96" s="517">
        <f>IF($B96=0,0,(((VLOOKUP(Summary_Services!$F96,lookup_salaries,8,FALSE))*$E96)))</f>
        <v>0</v>
      </c>
      <c r="N96" s="517">
        <f>IF($B96=0,0,(((VLOOKUP(Summary_Services!$F96,lookup_salaries,8,FALSE))*$E96)))</f>
        <v>0</v>
      </c>
      <c r="O96" s="517">
        <f>IF($B96=0,0,(((VLOOKUP(Summary_Services!$F96,lookup_salaries,8,FALSE))*$E96)))</f>
        <v>0</v>
      </c>
      <c r="P96" s="517">
        <f>IF($B96=0,0,(((VLOOKUP(Summary_Services!$F96,lookup_salaries,8,FALSE))*$E96)))</f>
        <v>0</v>
      </c>
      <c r="Q96" s="517">
        <f>IF($B96=0,0,(((VLOOKUP(Summary_Services!$F96,lookup_salaries,8,FALSE))*$E96)))</f>
        <v>0</v>
      </c>
      <c r="R96" s="517">
        <f>IF($B96=0,0,(((VLOOKUP(Summary_Services!$F96,lookup_salaries,8,FALSE))*$E96)))</f>
        <v>0</v>
      </c>
      <c r="S96" s="517"/>
      <c r="T96" s="517">
        <f>IF(Summary_Services!Y96=0,0,Summary_TG!Q99/Summary_Services!Y96)</f>
        <v>0</v>
      </c>
      <c r="U96" s="517">
        <f>IF(Summary_Services!Z96=0,0,Summary_TG!R99/Summary_Services!Z96)</f>
        <v>0</v>
      </c>
      <c r="V96" s="517">
        <f>IF(Summary_Services!AA96=0,0,Summary_TG!S99/Summary_Services!AA96)</f>
        <v>0</v>
      </c>
      <c r="W96" s="517">
        <f>IF(Summary_Services!AB96=0,0,Summary_TG!T99/Summary_Services!AB96)</f>
        <v>0</v>
      </c>
      <c r="X96" s="517">
        <f>IF(Summary_Services!AC96=0,0,Summary_TG!U99/Summary_Services!AC96)</f>
        <v>0</v>
      </c>
      <c r="Y96" s="517">
        <f>IF(Summary_Services!AD96=0,0,Summary_TG!V99/Summary_Services!AD96)</f>
        <v>0</v>
      </c>
      <c r="Z96" s="517"/>
      <c r="AA96" s="517">
        <f>Summary_Services!R96</f>
        <v>0</v>
      </c>
      <c r="AB96" s="517">
        <f>Summary_Services!S96</f>
        <v>0</v>
      </c>
      <c r="AC96" s="517">
        <f>Summary_Services!T96</f>
        <v>0</v>
      </c>
      <c r="AD96" s="517">
        <f>Summary_Services!U96</f>
        <v>0</v>
      </c>
      <c r="AE96" s="517">
        <f>Summary_Services!V96</f>
        <v>0</v>
      </c>
      <c r="AF96" s="517">
        <f>Summary_Services!W96</f>
        <v>0</v>
      </c>
      <c r="AG96" s="517"/>
      <c r="AH96" s="517">
        <f t="shared" si="34"/>
        <v>0</v>
      </c>
      <c r="AI96" s="517">
        <f t="shared" si="35"/>
        <v>0</v>
      </c>
      <c r="AJ96" s="517">
        <f t="shared" si="36"/>
        <v>0</v>
      </c>
      <c r="AK96" s="517">
        <f t="shared" si="37"/>
        <v>0</v>
      </c>
      <c r="AL96" s="517">
        <f t="shared" si="38"/>
        <v>0</v>
      </c>
      <c r="AM96" s="517">
        <f t="shared" si="39"/>
        <v>0</v>
      </c>
      <c r="AN96" s="517"/>
      <c r="AO96" s="517">
        <f t="shared" si="40"/>
        <v>0</v>
      </c>
      <c r="AP96" s="517">
        <f t="shared" si="41"/>
        <v>0</v>
      </c>
      <c r="AQ96" s="517">
        <f t="shared" si="42"/>
        <v>0</v>
      </c>
      <c r="AR96" s="517">
        <f t="shared" si="43"/>
        <v>0</v>
      </c>
      <c r="AS96" s="517">
        <f t="shared" si="44"/>
        <v>0</v>
      </c>
      <c r="AT96" s="517">
        <f t="shared" si="45"/>
        <v>0</v>
      </c>
      <c r="AU96" s="517"/>
      <c r="AV96" s="517">
        <f t="shared" si="46"/>
        <v>0</v>
      </c>
      <c r="AW96" s="517">
        <f t="shared" si="47"/>
        <v>0</v>
      </c>
      <c r="AX96" s="517">
        <f t="shared" si="48"/>
        <v>0</v>
      </c>
      <c r="AY96" s="517">
        <f t="shared" si="49"/>
        <v>0</v>
      </c>
      <c r="AZ96" s="517">
        <f t="shared" si="50"/>
        <v>0</v>
      </c>
      <c r="BA96" s="517">
        <f t="shared" si="51"/>
        <v>0</v>
      </c>
      <c r="BB96" s="517"/>
      <c r="BC96" s="517" t="e">
        <f>+AH96/Demography!C$10</f>
        <v>#DIV/0!</v>
      </c>
      <c r="BD96" s="517" t="e">
        <f>+AI96/Demography!D$10</f>
        <v>#DIV/0!</v>
      </c>
      <c r="BE96" s="517" t="e">
        <f>+AJ96/Demography!E$10</f>
        <v>#DIV/0!</v>
      </c>
      <c r="BF96" s="517" t="e">
        <f>+AK96/Demography!F$10</f>
        <v>#DIV/0!</v>
      </c>
      <c r="BG96" s="517" t="e">
        <f>+AL96/Demography!G$10</f>
        <v>#DIV/0!</v>
      </c>
      <c r="BH96" s="517" t="e">
        <f>+AM96/Demography!H$10</f>
        <v>#DIV/0!</v>
      </c>
    </row>
    <row r="97" spans="1:60">
      <c r="A97" s="578">
        <v>92</v>
      </c>
      <c r="B97" s="4">
        <f>Summary_TG!B100</f>
        <v>0</v>
      </c>
      <c r="C97" s="4">
        <f>Summary_TG!C100</f>
        <v>0</v>
      </c>
      <c r="D97">
        <f>Summary_Services!E97</f>
        <v>0</v>
      </c>
      <c r="E97">
        <f>Summary_TG!G100</f>
        <v>0</v>
      </c>
      <c r="F97" s="517">
        <f t="shared" si="28"/>
        <v>0</v>
      </c>
      <c r="G97" s="517">
        <f t="shared" si="29"/>
        <v>0</v>
      </c>
      <c r="H97" s="517">
        <f t="shared" si="30"/>
        <v>0</v>
      </c>
      <c r="I97" s="517">
        <f t="shared" si="31"/>
        <v>0</v>
      </c>
      <c r="J97" s="517">
        <f t="shared" si="32"/>
        <v>0</v>
      </c>
      <c r="K97" s="517">
        <f t="shared" si="33"/>
        <v>0</v>
      </c>
      <c r="L97" s="517"/>
      <c r="M97" s="517">
        <f>IF($B97=0,0,(((VLOOKUP(Summary_Services!$F97,lookup_salaries,8,FALSE))*$E97)))</f>
        <v>0</v>
      </c>
      <c r="N97" s="517">
        <f>IF($B97=0,0,(((VLOOKUP(Summary_Services!$F97,lookup_salaries,8,FALSE))*$E97)))</f>
        <v>0</v>
      </c>
      <c r="O97" s="517">
        <f>IF($B97=0,0,(((VLOOKUP(Summary_Services!$F97,lookup_salaries,8,FALSE))*$E97)))</f>
        <v>0</v>
      </c>
      <c r="P97" s="517">
        <f>IF($B97=0,0,(((VLOOKUP(Summary_Services!$F97,lookup_salaries,8,FALSE))*$E97)))</f>
        <v>0</v>
      </c>
      <c r="Q97" s="517">
        <f>IF($B97=0,0,(((VLOOKUP(Summary_Services!$F97,lookup_salaries,8,FALSE))*$E97)))</f>
        <v>0</v>
      </c>
      <c r="R97" s="517">
        <f>IF($B97=0,0,(((VLOOKUP(Summary_Services!$F97,lookup_salaries,8,FALSE))*$E97)))</f>
        <v>0</v>
      </c>
      <c r="S97" s="517"/>
      <c r="T97" s="517">
        <f>IF(Summary_Services!Y97=0,0,Summary_TG!Q100/Summary_Services!Y97)</f>
        <v>0</v>
      </c>
      <c r="U97" s="517">
        <f>IF(Summary_Services!Z97=0,0,Summary_TG!R100/Summary_Services!Z97)</f>
        <v>0</v>
      </c>
      <c r="V97" s="517">
        <f>IF(Summary_Services!AA97=0,0,Summary_TG!S100/Summary_Services!AA97)</f>
        <v>0</v>
      </c>
      <c r="W97" s="517">
        <f>IF(Summary_Services!AB97=0,0,Summary_TG!T100/Summary_Services!AB97)</f>
        <v>0</v>
      </c>
      <c r="X97" s="517">
        <f>IF(Summary_Services!AC97=0,0,Summary_TG!U100/Summary_Services!AC97)</f>
        <v>0</v>
      </c>
      <c r="Y97" s="517">
        <f>IF(Summary_Services!AD97=0,0,Summary_TG!V100/Summary_Services!AD97)</f>
        <v>0</v>
      </c>
      <c r="Z97" s="517"/>
      <c r="AA97" s="517">
        <f>Summary_Services!R97</f>
        <v>0</v>
      </c>
      <c r="AB97" s="517">
        <f>Summary_Services!S97</f>
        <v>0</v>
      </c>
      <c r="AC97" s="517">
        <f>Summary_Services!T97</f>
        <v>0</v>
      </c>
      <c r="AD97" s="517">
        <f>Summary_Services!U97</f>
        <v>0</v>
      </c>
      <c r="AE97" s="517">
        <f>Summary_Services!V97</f>
        <v>0</v>
      </c>
      <c r="AF97" s="517">
        <f>Summary_Services!W97</f>
        <v>0</v>
      </c>
      <c r="AG97" s="517"/>
      <c r="AH97" s="517">
        <f t="shared" si="34"/>
        <v>0</v>
      </c>
      <c r="AI97" s="517">
        <f t="shared" si="35"/>
        <v>0</v>
      </c>
      <c r="AJ97" s="517">
        <f t="shared" si="36"/>
        <v>0</v>
      </c>
      <c r="AK97" s="517">
        <f t="shared" si="37"/>
        <v>0</v>
      </c>
      <c r="AL97" s="517">
        <f t="shared" si="38"/>
        <v>0</v>
      </c>
      <c r="AM97" s="517">
        <f t="shared" si="39"/>
        <v>0</v>
      </c>
      <c r="AN97" s="517"/>
      <c r="AO97" s="517">
        <f t="shared" si="40"/>
        <v>0</v>
      </c>
      <c r="AP97" s="517">
        <f t="shared" si="41"/>
        <v>0</v>
      </c>
      <c r="AQ97" s="517">
        <f t="shared" si="42"/>
        <v>0</v>
      </c>
      <c r="AR97" s="517">
        <f t="shared" si="43"/>
        <v>0</v>
      </c>
      <c r="AS97" s="517">
        <f t="shared" si="44"/>
        <v>0</v>
      </c>
      <c r="AT97" s="517">
        <f t="shared" si="45"/>
        <v>0</v>
      </c>
      <c r="AU97" s="517"/>
      <c r="AV97" s="517">
        <f t="shared" si="46"/>
        <v>0</v>
      </c>
      <c r="AW97" s="517">
        <f t="shared" si="47"/>
        <v>0</v>
      </c>
      <c r="AX97" s="517">
        <f t="shared" si="48"/>
        <v>0</v>
      </c>
      <c r="AY97" s="517">
        <f t="shared" si="49"/>
        <v>0</v>
      </c>
      <c r="AZ97" s="517">
        <f t="shared" si="50"/>
        <v>0</v>
      </c>
      <c r="BA97" s="517">
        <f t="shared" si="51"/>
        <v>0</v>
      </c>
      <c r="BB97" s="517"/>
      <c r="BC97" s="517" t="e">
        <f>+AH97/Demography!C$10</f>
        <v>#DIV/0!</v>
      </c>
      <c r="BD97" s="517" t="e">
        <f>+AI97/Demography!D$10</f>
        <v>#DIV/0!</v>
      </c>
      <c r="BE97" s="517" t="e">
        <f>+AJ97/Demography!E$10</f>
        <v>#DIV/0!</v>
      </c>
      <c r="BF97" s="517" t="e">
        <f>+AK97/Demography!F$10</f>
        <v>#DIV/0!</v>
      </c>
      <c r="BG97" s="517" t="e">
        <f>+AL97/Demography!G$10</f>
        <v>#DIV/0!</v>
      </c>
      <c r="BH97" s="517" t="e">
        <f>+AM97/Demography!H$10</f>
        <v>#DIV/0!</v>
      </c>
    </row>
    <row r="98" spans="1:60">
      <c r="A98" s="578">
        <v>93</v>
      </c>
      <c r="B98" s="4">
        <f>Summary_TG!B101</f>
        <v>0</v>
      </c>
      <c r="C98" s="4">
        <f>Summary_TG!C101</f>
        <v>0</v>
      </c>
      <c r="D98">
        <f>Summary_Services!E98</f>
        <v>0</v>
      </c>
      <c r="E98">
        <f>Summary_TG!G101</f>
        <v>0</v>
      </c>
      <c r="F98" s="517">
        <f t="shared" si="28"/>
        <v>0</v>
      </c>
      <c r="G98" s="517">
        <f t="shared" si="29"/>
        <v>0</v>
      </c>
      <c r="H98" s="517">
        <f t="shared" si="30"/>
        <v>0</v>
      </c>
      <c r="I98" s="517">
        <f t="shared" si="31"/>
        <v>0</v>
      </c>
      <c r="J98" s="517">
        <f t="shared" si="32"/>
        <v>0</v>
      </c>
      <c r="K98" s="517">
        <f t="shared" si="33"/>
        <v>0</v>
      </c>
      <c r="L98" s="517"/>
      <c r="M98" s="517">
        <f>IF($B98=0,0,(((VLOOKUP(Summary_Services!$F98,lookup_salaries,8,FALSE))*$E98)))</f>
        <v>0</v>
      </c>
      <c r="N98" s="517">
        <f>IF($B98=0,0,(((VLOOKUP(Summary_Services!$F98,lookup_salaries,8,FALSE))*$E98)))</f>
        <v>0</v>
      </c>
      <c r="O98" s="517">
        <f>IF($B98=0,0,(((VLOOKUP(Summary_Services!$F98,lookup_salaries,8,FALSE))*$E98)))</f>
        <v>0</v>
      </c>
      <c r="P98" s="517">
        <f>IF($B98=0,0,(((VLOOKUP(Summary_Services!$F98,lookup_salaries,8,FALSE))*$E98)))</f>
        <v>0</v>
      </c>
      <c r="Q98" s="517">
        <f>IF($B98=0,0,(((VLOOKUP(Summary_Services!$F98,lookup_salaries,8,FALSE))*$E98)))</f>
        <v>0</v>
      </c>
      <c r="R98" s="517">
        <f>IF($B98=0,0,(((VLOOKUP(Summary_Services!$F98,lookup_salaries,8,FALSE))*$E98)))</f>
        <v>0</v>
      </c>
      <c r="S98" s="517"/>
      <c r="T98" s="517">
        <f>IF(Summary_Services!Y98=0,0,Summary_TG!Q101/Summary_Services!Y98)</f>
        <v>0</v>
      </c>
      <c r="U98" s="517">
        <f>IF(Summary_Services!Z98=0,0,Summary_TG!R101/Summary_Services!Z98)</f>
        <v>0</v>
      </c>
      <c r="V98" s="517">
        <f>IF(Summary_Services!AA98=0,0,Summary_TG!S101/Summary_Services!AA98)</f>
        <v>0</v>
      </c>
      <c r="W98" s="517">
        <f>IF(Summary_Services!AB98=0,0,Summary_TG!T101/Summary_Services!AB98)</f>
        <v>0</v>
      </c>
      <c r="X98" s="517">
        <f>IF(Summary_Services!AC98=0,0,Summary_TG!U101/Summary_Services!AC98)</f>
        <v>0</v>
      </c>
      <c r="Y98" s="517">
        <f>IF(Summary_Services!AD98=0,0,Summary_TG!V101/Summary_Services!AD98)</f>
        <v>0</v>
      </c>
      <c r="Z98" s="517"/>
      <c r="AA98" s="517">
        <f>Summary_Services!R98</f>
        <v>0</v>
      </c>
      <c r="AB98" s="517">
        <f>Summary_Services!S98</f>
        <v>0</v>
      </c>
      <c r="AC98" s="517">
        <f>Summary_Services!T98</f>
        <v>0</v>
      </c>
      <c r="AD98" s="517">
        <f>Summary_Services!U98</f>
        <v>0</v>
      </c>
      <c r="AE98" s="517">
        <f>Summary_Services!V98</f>
        <v>0</v>
      </c>
      <c r="AF98" s="517">
        <f>Summary_Services!W98</f>
        <v>0</v>
      </c>
      <c r="AG98" s="517"/>
      <c r="AH98" s="517">
        <f t="shared" si="34"/>
        <v>0</v>
      </c>
      <c r="AI98" s="517">
        <f t="shared" si="35"/>
        <v>0</v>
      </c>
      <c r="AJ98" s="517">
        <f t="shared" si="36"/>
        <v>0</v>
      </c>
      <c r="AK98" s="517">
        <f t="shared" si="37"/>
        <v>0</v>
      </c>
      <c r="AL98" s="517">
        <f t="shared" si="38"/>
        <v>0</v>
      </c>
      <c r="AM98" s="517">
        <f t="shared" si="39"/>
        <v>0</v>
      </c>
      <c r="AN98" s="517"/>
      <c r="AO98" s="517">
        <f t="shared" si="40"/>
        <v>0</v>
      </c>
      <c r="AP98" s="517">
        <f t="shared" si="41"/>
        <v>0</v>
      </c>
      <c r="AQ98" s="517">
        <f t="shared" si="42"/>
        <v>0</v>
      </c>
      <c r="AR98" s="517">
        <f t="shared" si="43"/>
        <v>0</v>
      </c>
      <c r="AS98" s="517">
        <f t="shared" si="44"/>
        <v>0</v>
      </c>
      <c r="AT98" s="517">
        <f t="shared" si="45"/>
        <v>0</v>
      </c>
      <c r="AU98" s="517"/>
      <c r="AV98" s="517">
        <f t="shared" si="46"/>
        <v>0</v>
      </c>
      <c r="AW98" s="517">
        <f t="shared" si="47"/>
        <v>0</v>
      </c>
      <c r="AX98" s="517">
        <f t="shared" si="48"/>
        <v>0</v>
      </c>
      <c r="AY98" s="517">
        <f t="shared" si="49"/>
        <v>0</v>
      </c>
      <c r="AZ98" s="517">
        <f t="shared" si="50"/>
        <v>0</v>
      </c>
      <c r="BA98" s="517">
        <f t="shared" si="51"/>
        <v>0</v>
      </c>
      <c r="BB98" s="517"/>
      <c r="BC98" s="517" t="e">
        <f>+AH98/Demography!C$10</f>
        <v>#DIV/0!</v>
      </c>
      <c r="BD98" s="517" t="e">
        <f>+AI98/Demography!D$10</f>
        <v>#DIV/0!</v>
      </c>
      <c r="BE98" s="517" t="e">
        <f>+AJ98/Demography!E$10</f>
        <v>#DIV/0!</v>
      </c>
      <c r="BF98" s="517" t="e">
        <f>+AK98/Demography!F$10</f>
        <v>#DIV/0!</v>
      </c>
      <c r="BG98" s="517" t="e">
        <f>+AL98/Demography!G$10</f>
        <v>#DIV/0!</v>
      </c>
      <c r="BH98" s="517" t="e">
        <f>+AM98/Demography!H$10</f>
        <v>#DIV/0!</v>
      </c>
    </row>
    <row r="99" spans="1:60">
      <c r="A99" s="578">
        <v>94</v>
      </c>
      <c r="B99" s="4">
        <f>Summary_TG!B102</f>
        <v>0</v>
      </c>
      <c r="C99" s="4">
        <f>Summary_TG!C102</f>
        <v>0</v>
      </c>
      <c r="D99">
        <f>Summary_Services!E99</f>
        <v>0</v>
      </c>
      <c r="E99">
        <f>Summary_TG!G102</f>
        <v>0</v>
      </c>
      <c r="F99" s="517">
        <f t="shared" si="28"/>
        <v>0</v>
      </c>
      <c r="G99" s="517">
        <f t="shared" si="29"/>
        <v>0</v>
      </c>
      <c r="H99" s="517">
        <f t="shared" si="30"/>
        <v>0</v>
      </c>
      <c r="I99" s="517">
        <f t="shared" si="31"/>
        <v>0</v>
      </c>
      <c r="J99" s="517">
        <f t="shared" si="32"/>
        <v>0</v>
      </c>
      <c r="K99" s="517">
        <f t="shared" si="33"/>
        <v>0</v>
      </c>
      <c r="L99" s="517"/>
      <c r="M99" s="517">
        <f>IF($B99=0,0,(((VLOOKUP(Summary_Services!$F99,lookup_salaries,8,FALSE))*$E99)))</f>
        <v>0</v>
      </c>
      <c r="N99" s="517">
        <f>IF($B99=0,0,(((VLOOKUP(Summary_Services!$F99,lookup_salaries,8,FALSE))*$E99)))</f>
        <v>0</v>
      </c>
      <c r="O99" s="517">
        <f>IF($B99=0,0,(((VLOOKUP(Summary_Services!$F99,lookup_salaries,8,FALSE))*$E99)))</f>
        <v>0</v>
      </c>
      <c r="P99" s="517">
        <f>IF($B99=0,0,(((VLOOKUP(Summary_Services!$F99,lookup_salaries,8,FALSE))*$E99)))</f>
        <v>0</v>
      </c>
      <c r="Q99" s="517">
        <f>IF($B99=0,0,(((VLOOKUP(Summary_Services!$F99,lookup_salaries,8,FALSE))*$E99)))</f>
        <v>0</v>
      </c>
      <c r="R99" s="517">
        <f>IF($B99=0,0,(((VLOOKUP(Summary_Services!$F99,lookup_salaries,8,FALSE))*$E99)))</f>
        <v>0</v>
      </c>
      <c r="S99" s="517"/>
      <c r="T99" s="517">
        <f>IF(Summary_Services!Y99=0,0,Summary_TG!Q102/Summary_Services!Y99)</f>
        <v>0</v>
      </c>
      <c r="U99" s="517">
        <f>IF(Summary_Services!Z99=0,0,Summary_TG!R102/Summary_Services!Z99)</f>
        <v>0</v>
      </c>
      <c r="V99" s="517">
        <f>IF(Summary_Services!AA99=0,0,Summary_TG!S102/Summary_Services!AA99)</f>
        <v>0</v>
      </c>
      <c r="W99" s="517">
        <f>IF(Summary_Services!AB99=0,0,Summary_TG!T102/Summary_Services!AB99)</f>
        <v>0</v>
      </c>
      <c r="X99" s="517">
        <f>IF(Summary_Services!AC99=0,0,Summary_TG!U102/Summary_Services!AC99)</f>
        <v>0</v>
      </c>
      <c r="Y99" s="517">
        <f>IF(Summary_Services!AD99=0,0,Summary_TG!V102/Summary_Services!AD99)</f>
        <v>0</v>
      </c>
      <c r="Z99" s="517"/>
      <c r="AA99" s="517">
        <f>Summary_Services!R99</f>
        <v>0</v>
      </c>
      <c r="AB99" s="517">
        <f>Summary_Services!S99</f>
        <v>0</v>
      </c>
      <c r="AC99" s="517">
        <f>Summary_Services!T99</f>
        <v>0</v>
      </c>
      <c r="AD99" s="517">
        <f>Summary_Services!U99</f>
        <v>0</v>
      </c>
      <c r="AE99" s="517">
        <f>Summary_Services!V99</f>
        <v>0</v>
      </c>
      <c r="AF99" s="517">
        <f>Summary_Services!W99</f>
        <v>0</v>
      </c>
      <c r="AG99" s="517"/>
      <c r="AH99" s="517">
        <f t="shared" si="34"/>
        <v>0</v>
      </c>
      <c r="AI99" s="517">
        <f t="shared" si="35"/>
        <v>0</v>
      </c>
      <c r="AJ99" s="517">
        <f t="shared" si="36"/>
        <v>0</v>
      </c>
      <c r="AK99" s="517">
        <f t="shared" si="37"/>
        <v>0</v>
      </c>
      <c r="AL99" s="517">
        <f t="shared" si="38"/>
        <v>0</v>
      </c>
      <c r="AM99" s="517">
        <f t="shared" si="39"/>
        <v>0</v>
      </c>
      <c r="AN99" s="517"/>
      <c r="AO99" s="517">
        <f t="shared" si="40"/>
        <v>0</v>
      </c>
      <c r="AP99" s="517">
        <f t="shared" si="41"/>
        <v>0</v>
      </c>
      <c r="AQ99" s="517">
        <f t="shared" si="42"/>
        <v>0</v>
      </c>
      <c r="AR99" s="517">
        <f t="shared" si="43"/>
        <v>0</v>
      </c>
      <c r="AS99" s="517">
        <f t="shared" si="44"/>
        <v>0</v>
      </c>
      <c r="AT99" s="517">
        <f t="shared" si="45"/>
        <v>0</v>
      </c>
      <c r="AU99" s="517"/>
      <c r="AV99" s="517">
        <f t="shared" si="46"/>
        <v>0</v>
      </c>
      <c r="AW99" s="517">
        <f t="shared" si="47"/>
        <v>0</v>
      </c>
      <c r="AX99" s="517">
        <f t="shared" si="48"/>
        <v>0</v>
      </c>
      <c r="AY99" s="517">
        <f t="shared" si="49"/>
        <v>0</v>
      </c>
      <c r="AZ99" s="517">
        <f t="shared" si="50"/>
        <v>0</v>
      </c>
      <c r="BA99" s="517">
        <f t="shared" si="51"/>
        <v>0</v>
      </c>
      <c r="BB99" s="517"/>
      <c r="BC99" s="517" t="e">
        <f>+AH99/Demography!C$10</f>
        <v>#DIV/0!</v>
      </c>
      <c r="BD99" s="517" t="e">
        <f>+AI99/Demography!D$10</f>
        <v>#DIV/0!</v>
      </c>
      <c r="BE99" s="517" t="e">
        <f>+AJ99/Demography!E$10</f>
        <v>#DIV/0!</v>
      </c>
      <c r="BF99" s="517" t="e">
        <f>+AK99/Demography!F$10</f>
        <v>#DIV/0!</v>
      </c>
      <c r="BG99" s="517" t="e">
        <f>+AL99/Demography!G$10</f>
        <v>#DIV/0!</v>
      </c>
      <c r="BH99" s="517" t="e">
        <f>+AM99/Demography!H$10</f>
        <v>#DIV/0!</v>
      </c>
    </row>
    <row r="100" spans="1:60">
      <c r="A100" s="578">
        <v>95</v>
      </c>
      <c r="B100" s="4">
        <f>Summary_TG!B103</f>
        <v>0</v>
      </c>
      <c r="C100" s="4">
        <f>Summary_TG!C103</f>
        <v>0</v>
      </c>
      <c r="D100">
        <f>Summary_Services!E100</f>
        <v>0</v>
      </c>
      <c r="E100">
        <f>Summary_TG!G103</f>
        <v>0</v>
      </c>
      <c r="F100" s="517">
        <f t="shared" si="28"/>
        <v>0</v>
      </c>
      <c r="G100" s="517">
        <f t="shared" si="29"/>
        <v>0</v>
      </c>
      <c r="H100" s="517">
        <f t="shared" si="30"/>
        <v>0</v>
      </c>
      <c r="I100" s="517">
        <f t="shared" si="31"/>
        <v>0</v>
      </c>
      <c r="J100" s="517">
        <f t="shared" si="32"/>
        <v>0</v>
      </c>
      <c r="K100" s="517">
        <f t="shared" si="33"/>
        <v>0</v>
      </c>
      <c r="L100" s="517"/>
      <c r="M100" s="517">
        <f>IF($B100=0,0,(((VLOOKUP(Summary_Services!$F100,lookup_salaries,8,FALSE))*$E100)))</f>
        <v>0</v>
      </c>
      <c r="N100" s="517">
        <f>IF($B100=0,0,(((VLOOKUP(Summary_Services!$F100,lookup_salaries,8,FALSE))*$E100)))</f>
        <v>0</v>
      </c>
      <c r="O100" s="517">
        <f>IF($B100=0,0,(((VLOOKUP(Summary_Services!$F100,lookup_salaries,8,FALSE))*$E100)))</f>
        <v>0</v>
      </c>
      <c r="P100" s="517">
        <f>IF($B100=0,0,(((VLOOKUP(Summary_Services!$F100,lookup_salaries,8,FALSE))*$E100)))</f>
        <v>0</v>
      </c>
      <c r="Q100" s="517">
        <f>IF($B100=0,0,(((VLOOKUP(Summary_Services!$F100,lookup_salaries,8,FALSE))*$E100)))</f>
        <v>0</v>
      </c>
      <c r="R100" s="517">
        <f>IF($B100=0,0,(((VLOOKUP(Summary_Services!$F100,lookup_salaries,8,FALSE))*$E100)))</f>
        <v>0</v>
      </c>
      <c r="S100" s="517"/>
      <c r="T100" s="517">
        <f>IF(Summary_Services!Y100=0,0,Summary_TG!Q103/Summary_Services!Y100)</f>
        <v>0</v>
      </c>
      <c r="U100" s="517">
        <f>IF(Summary_Services!Z100=0,0,Summary_TG!R103/Summary_Services!Z100)</f>
        <v>0</v>
      </c>
      <c r="V100" s="517">
        <f>IF(Summary_Services!AA100=0,0,Summary_TG!S103/Summary_Services!AA100)</f>
        <v>0</v>
      </c>
      <c r="W100" s="517">
        <f>IF(Summary_Services!AB100=0,0,Summary_TG!T103/Summary_Services!AB100)</f>
        <v>0</v>
      </c>
      <c r="X100" s="517">
        <f>IF(Summary_Services!AC100=0,0,Summary_TG!U103/Summary_Services!AC100)</f>
        <v>0</v>
      </c>
      <c r="Y100" s="517">
        <f>IF(Summary_Services!AD100=0,0,Summary_TG!V103/Summary_Services!AD100)</f>
        <v>0</v>
      </c>
      <c r="Z100" s="517"/>
      <c r="AA100" s="517">
        <f>Summary_Services!R100</f>
        <v>0</v>
      </c>
      <c r="AB100" s="517">
        <f>Summary_Services!S100</f>
        <v>0</v>
      </c>
      <c r="AC100" s="517">
        <f>Summary_Services!T100</f>
        <v>0</v>
      </c>
      <c r="AD100" s="517">
        <f>Summary_Services!U100</f>
        <v>0</v>
      </c>
      <c r="AE100" s="517">
        <f>Summary_Services!V100</f>
        <v>0</v>
      </c>
      <c r="AF100" s="517">
        <f>Summary_Services!W100</f>
        <v>0</v>
      </c>
      <c r="AG100" s="517"/>
      <c r="AH100" s="517">
        <f t="shared" si="34"/>
        <v>0</v>
      </c>
      <c r="AI100" s="517">
        <f t="shared" si="35"/>
        <v>0</v>
      </c>
      <c r="AJ100" s="517">
        <f t="shared" si="36"/>
        <v>0</v>
      </c>
      <c r="AK100" s="517">
        <f t="shared" si="37"/>
        <v>0</v>
      </c>
      <c r="AL100" s="517">
        <f t="shared" si="38"/>
        <v>0</v>
      </c>
      <c r="AM100" s="517">
        <f t="shared" si="39"/>
        <v>0</v>
      </c>
      <c r="AN100" s="517"/>
      <c r="AO100" s="517">
        <f t="shared" si="40"/>
        <v>0</v>
      </c>
      <c r="AP100" s="517">
        <f t="shared" si="41"/>
        <v>0</v>
      </c>
      <c r="AQ100" s="517">
        <f t="shared" si="42"/>
        <v>0</v>
      </c>
      <c r="AR100" s="517">
        <f t="shared" si="43"/>
        <v>0</v>
      </c>
      <c r="AS100" s="517">
        <f t="shared" si="44"/>
        <v>0</v>
      </c>
      <c r="AT100" s="517">
        <f t="shared" si="45"/>
        <v>0</v>
      </c>
      <c r="AU100" s="517"/>
      <c r="AV100" s="517">
        <f t="shared" si="46"/>
        <v>0</v>
      </c>
      <c r="AW100" s="517">
        <f t="shared" si="47"/>
        <v>0</v>
      </c>
      <c r="AX100" s="517">
        <f t="shared" si="48"/>
        <v>0</v>
      </c>
      <c r="AY100" s="517">
        <f t="shared" si="49"/>
        <v>0</v>
      </c>
      <c r="AZ100" s="517">
        <f t="shared" si="50"/>
        <v>0</v>
      </c>
      <c r="BA100" s="517">
        <f t="shared" si="51"/>
        <v>0</v>
      </c>
      <c r="BB100" s="517"/>
      <c r="BC100" s="517" t="e">
        <f>+AH100/Demography!C$10</f>
        <v>#DIV/0!</v>
      </c>
      <c r="BD100" s="517" t="e">
        <f>+AI100/Demography!D$10</f>
        <v>#DIV/0!</v>
      </c>
      <c r="BE100" s="517" t="e">
        <f>+AJ100/Demography!E$10</f>
        <v>#DIV/0!</v>
      </c>
      <c r="BF100" s="517" t="e">
        <f>+AK100/Demography!F$10</f>
        <v>#DIV/0!</v>
      </c>
      <c r="BG100" s="517" t="e">
        <f>+AL100/Demography!G$10</f>
        <v>#DIV/0!</v>
      </c>
      <c r="BH100" s="517" t="e">
        <f>+AM100/Demography!H$10</f>
        <v>#DIV/0!</v>
      </c>
    </row>
    <row r="101" spans="1:60">
      <c r="A101" s="578">
        <v>96</v>
      </c>
      <c r="B101" s="4">
        <f>Summary_TG!B104</f>
        <v>0</v>
      </c>
      <c r="C101" s="4">
        <f>Summary_TG!C104</f>
        <v>0</v>
      </c>
      <c r="D101">
        <f>Summary_Services!E101</f>
        <v>0</v>
      </c>
      <c r="E101">
        <f>Summary_TG!G104</f>
        <v>0</v>
      </c>
      <c r="F101" s="517">
        <f t="shared" si="28"/>
        <v>0</v>
      </c>
      <c r="G101" s="517">
        <f t="shared" si="29"/>
        <v>0</v>
      </c>
      <c r="H101" s="517">
        <f t="shared" si="30"/>
        <v>0</v>
      </c>
      <c r="I101" s="517">
        <f t="shared" si="31"/>
        <v>0</v>
      </c>
      <c r="J101" s="517">
        <f t="shared" si="32"/>
        <v>0</v>
      </c>
      <c r="K101" s="517">
        <f t="shared" si="33"/>
        <v>0</v>
      </c>
      <c r="L101" s="517"/>
      <c r="M101" s="517">
        <f>IF($B101=0,0,(((VLOOKUP(Summary_Services!$F101,lookup_salaries,8,FALSE))*$E101)))</f>
        <v>0</v>
      </c>
      <c r="N101" s="517">
        <f>IF($B101=0,0,(((VLOOKUP(Summary_Services!$F101,lookup_salaries,8,FALSE))*$E101)))</f>
        <v>0</v>
      </c>
      <c r="O101" s="517">
        <f>IF($B101=0,0,(((VLOOKUP(Summary_Services!$F101,lookup_salaries,8,FALSE))*$E101)))</f>
        <v>0</v>
      </c>
      <c r="P101" s="517">
        <f>IF($B101=0,0,(((VLOOKUP(Summary_Services!$F101,lookup_salaries,8,FALSE))*$E101)))</f>
        <v>0</v>
      </c>
      <c r="Q101" s="517">
        <f>IF($B101=0,0,(((VLOOKUP(Summary_Services!$F101,lookup_salaries,8,FALSE))*$E101)))</f>
        <v>0</v>
      </c>
      <c r="R101" s="517">
        <f>IF($B101=0,0,(((VLOOKUP(Summary_Services!$F101,lookup_salaries,8,FALSE))*$E101)))</f>
        <v>0</v>
      </c>
      <c r="S101" s="517"/>
      <c r="T101" s="517">
        <f>IF(Summary_Services!Y101=0,0,Summary_TG!Q104/Summary_Services!Y101)</f>
        <v>0</v>
      </c>
      <c r="U101" s="517">
        <f>IF(Summary_Services!Z101=0,0,Summary_TG!R104/Summary_Services!Z101)</f>
        <v>0</v>
      </c>
      <c r="V101" s="517">
        <f>IF(Summary_Services!AA101=0,0,Summary_TG!S104/Summary_Services!AA101)</f>
        <v>0</v>
      </c>
      <c r="W101" s="517">
        <f>IF(Summary_Services!AB101=0,0,Summary_TG!T104/Summary_Services!AB101)</f>
        <v>0</v>
      </c>
      <c r="X101" s="517">
        <f>IF(Summary_Services!AC101=0,0,Summary_TG!U104/Summary_Services!AC101)</f>
        <v>0</v>
      </c>
      <c r="Y101" s="517">
        <f>IF(Summary_Services!AD101=0,0,Summary_TG!V104/Summary_Services!AD101)</f>
        <v>0</v>
      </c>
      <c r="Z101" s="517"/>
      <c r="AA101" s="517">
        <f>Summary_Services!R101</f>
        <v>0</v>
      </c>
      <c r="AB101" s="517">
        <f>Summary_Services!S101</f>
        <v>0</v>
      </c>
      <c r="AC101" s="517">
        <f>Summary_Services!T101</f>
        <v>0</v>
      </c>
      <c r="AD101" s="517">
        <f>Summary_Services!U101</f>
        <v>0</v>
      </c>
      <c r="AE101" s="517">
        <f>Summary_Services!V101</f>
        <v>0</v>
      </c>
      <c r="AF101" s="517">
        <f>Summary_Services!W101</f>
        <v>0</v>
      </c>
      <c r="AG101" s="517"/>
      <c r="AH101" s="517">
        <f t="shared" si="34"/>
        <v>0</v>
      </c>
      <c r="AI101" s="517">
        <f t="shared" si="35"/>
        <v>0</v>
      </c>
      <c r="AJ101" s="517">
        <f t="shared" si="36"/>
        <v>0</v>
      </c>
      <c r="AK101" s="517">
        <f t="shared" si="37"/>
        <v>0</v>
      </c>
      <c r="AL101" s="517">
        <f t="shared" si="38"/>
        <v>0</v>
      </c>
      <c r="AM101" s="517">
        <f t="shared" si="39"/>
        <v>0</v>
      </c>
      <c r="AN101" s="517"/>
      <c r="AO101" s="517">
        <f t="shared" si="40"/>
        <v>0</v>
      </c>
      <c r="AP101" s="517">
        <f t="shared" si="41"/>
        <v>0</v>
      </c>
      <c r="AQ101" s="517">
        <f t="shared" si="42"/>
        <v>0</v>
      </c>
      <c r="AR101" s="517">
        <f t="shared" si="43"/>
        <v>0</v>
      </c>
      <c r="AS101" s="517">
        <f t="shared" si="44"/>
        <v>0</v>
      </c>
      <c r="AT101" s="517">
        <f t="shared" si="45"/>
        <v>0</v>
      </c>
      <c r="AU101" s="517"/>
      <c r="AV101" s="517">
        <f t="shared" si="46"/>
        <v>0</v>
      </c>
      <c r="AW101" s="517">
        <f t="shared" si="47"/>
        <v>0</v>
      </c>
      <c r="AX101" s="517">
        <f t="shared" si="48"/>
        <v>0</v>
      </c>
      <c r="AY101" s="517">
        <f t="shared" si="49"/>
        <v>0</v>
      </c>
      <c r="AZ101" s="517">
        <f t="shared" si="50"/>
        <v>0</v>
      </c>
      <c r="BA101" s="517">
        <f t="shared" si="51"/>
        <v>0</v>
      </c>
      <c r="BB101" s="517"/>
      <c r="BC101" s="517" t="e">
        <f>+AH101/Demography!C$10</f>
        <v>#DIV/0!</v>
      </c>
      <c r="BD101" s="517" t="e">
        <f>+AI101/Demography!D$10</f>
        <v>#DIV/0!</v>
      </c>
      <c r="BE101" s="517" t="e">
        <f>+AJ101/Demography!E$10</f>
        <v>#DIV/0!</v>
      </c>
      <c r="BF101" s="517" t="e">
        <f>+AK101/Demography!F$10</f>
        <v>#DIV/0!</v>
      </c>
      <c r="BG101" s="517" t="e">
        <f>+AL101/Demography!G$10</f>
        <v>#DIV/0!</v>
      </c>
      <c r="BH101" s="517" t="e">
        <f>+AM101/Demography!H$10</f>
        <v>#DIV/0!</v>
      </c>
    </row>
    <row r="102" spans="1:60">
      <c r="A102" s="578">
        <v>97</v>
      </c>
      <c r="B102" s="4">
        <f>Summary_TG!B105</f>
        <v>0</v>
      </c>
      <c r="C102" s="4">
        <f>Summary_TG!C105</f>
        <v>0</v>
      </c>
      <c r="D102">
        <f>Summary_Services!E102</f>
        <v>0</v>
      </c>
      <c r="E102">
        <f>Summary_TG!G105</f>
        <v>0</v>
      </c>
      <c r="F102" s="517">
        <f t="shared" si="28"/>
        <v>0</v>
      </c>
      <c r="G102" s="517">
        <f t="shared" si="29"/>
        <v>0</v>
      </c>
      <c r="H102" s="517">
        <f t="shared" si="30"/>
        <v>0</v>
      </c>
      <c r="I102" s="517">
        <f t="shared" si="31"/>
        <v>0</v>
      </c>
      <c r="J102" s="517">
        <f t="shared" si="32"/>
        <v>0</v>
      </c>
      <c r="K102" s="517">
        <f t="shared" si="33"/>
        <v>0</v>
      </c>
      <c r="L102" s="517"/>
      <c r="M102" s="517">
        <f>IF($B102=0,0,(((VLOOKUP(Summary_Services!$F102,lookup_salaries,8,FALSE))*$E102)))</f>
        <v>0</v>
      </c>
      <c r="N102" s="517">
        <f>IF($B102=0,0,(((VLOOKUP(Summary_Services!$F102,lookup_salaries,8,FALSE))*$E102)))</f>
        <v>0</v>
      </c>
      <c r="O102" s="517">
        <f>IF($B102=0,0,(((VLOOKUP(Summary_Services!$F102,lookup_salaries,8,FALSE))*$E102)))</f>
        <v>0</v>
      </c>
      <c r="P102" s="517">
        <f>IF($B102=0,0,(((VLOOKUP(Summary_Services!$F102,lookup_salaries,8,FALSE))*$E102)))</f>
        <v>0</v>
      </c>
      <c r="Q102" s="517">
        <f>IF($B102=0,0,(((VLOOKUP(Summary_Services!$F102,lookup_salaries,8,FALSE))*$E102)))</f>
        <v>0</v>
      </c>
      <c r="R102" s="517">
        <f>IF($B102=0,0,(((VLOOKUP(Summary_Services!$F102,lookup_salaries,8,FALSE))*$E102)))</f>
        <v>0</v>
      </c>
      <c r="S102" s="517"/>
      <c r="T102" s="517">
        <f>IF(Summary_Services!Y102=0,0,Summary_TG!Q105/Summary_Services!Y102)</f>
        <v>0</v>
      </c>
      <c r="U102" s="517">
        <f>IF(Summary_Services!Z102=0,0,Summary_TG!R105/Summary_Services!Z102)</f>
        <v>0</v>
      </c>
      <c r="V102" s="517">
        <f>IF(Summary_Services!AA102=0,0,Summary_TG!S105/Summary_Services!AA102)</f>
        <v>0</v>
      </c>
      <c r="W102" s="517">
        <f>IF(Summary_Services!AB102=0,0,Summary_TG!T105/Summary_Services!AB102)</f>
        <v>0</v>
      </c>
      <c r="X102" s="517">
        <f>IF(Summary_Services!AC102=0,0,Summary_TG!U105/Summary_Services!AC102)</f>
        <v>0</v>
      </c>
      <c r="Y102" s="517">
        <f>IF(Summary_Services!AD102=0,0,Summary_TG!V105/Summary_Services!AD102)</f>
        <v>0</v>
      </c>
      <c r="Z102" s="517"/>
      <c r="AA102" s="517">
        <f>Summary_Services!R102</f>
        <v>0</v>
      </c>
      <c r="AB102" s="517">
        <f>Summary_Services!S102</f>
        <v>0</v>
      </c>
      <c r="AC102" s="517">
        <f>Summary_Services!T102</f>
        <v>0</v>
      </c>
      <c r="AD102" s="517">
        <f>Summary_Services!U102</f>
        <v>0</v>
      </c>
      <c r="AE102" s="517">
        <f>Summary_Services!V102</f>
        <v>0</v>
      </c>
      <c r="AF102" s="517">
        <f>Summary_Services!W102</f>
        <v>0</v>
      </c>
      <c r="AG102" s="517"/>
      <c r="AH102" s="517">
        <f t="shared" si="34"/>
        <v>0</v>
      </c>
      <c r="AI102" s="517">
        <f t="shared" si="35"/>
        <v>0</v>
      </c>
      <c r="AJ102" s="517">
        <f t="shared" si="36"/>
        <v>0</v>
      </c>
      <c r="AK102" s="517">
        <f t="shared" si="37"/>
        <v>0</v>
      </c>
      <c r="AL102" s="517">
        <f t="shared" si="38"/>
        <v>0</v>
      </c>
      <c r="AM102" s="517">
        <f t="shared" si="39"/>
        <v>0</v>
      </c>
      <c r="AN102" s="517"/>
      <c r="AO102" s="517">
        <f t="shared" si="40"/>
        <v>0</v>
      </c>
      <c r="AP102" s="517">
        <f t="shared" si="41"/>
        <v>0</v>
      </c>
      <c r="AQ102" s="517">
        <f t="shared" si="42"/>
        <v>0</v>
      </c>
      <c r="AR102" s="517">
        <f t="shared" si="43"/>
        <v>0</v>
      </c>
      <c r="AS102" s="517">
        <f t="shared" si="44"/>
        <v>0</v>
      </c>
      <c r="AT102" s="517">
        <f t="shared" si="45"/>
        <v>0</v>
      </c>
      <c r="AU102" s="517"/>
      <c r="AV102" s="517">
        <f t="shared" si="46"/>
        <v>0</v>
      </c>
      <c r="AW102" s="517">
        <f t="shared" si="47"/>
        <v>0</v>
      </c>
      <c r="AX102" s="517">
        <f t="shared" si="48"/>
        <v>0</v>
      </c>
      <c r="AY102" s="517">
        <f t="shared" si="49"/>
        <v>0</v>
      </c>
      <c r="AZ102" s="517">
        <f t="shared" si="50"/>
        <v>0</v>
      </c>
      <c r="BA102" s="517">
        <f t="shared" si="51"/>
        <v>0</v>
      </c>
      <c r="BB102" s="517"/>
      <c r="BC102" s="517" t="e">
        <f>+AH102/Demography!C$10</f>
        <v>#DIV/0!</v>
      </c>
      <c r="BD102" s="517" t="e">
        <f>+AI102/Demography!D$10</f>
        <v>#DIV/0!</v>
      </c>
      <c r="BE102" s="517" t="e">
        <f>+AJ102/Demography!E$10</f>
        <v>#DIV/0!</v>
      </c>
      <c r="BF102" s="517" t="e">
        <f>+AK102/Demography!F$10</f>
        <v>#DIV/0!</v>
      </c>
      <c r="BG102" s="517" t="e">
        <f>+AL102/Demography!G$10</f>
        <v>#DIV/0!</v>
      </c>
      <c r="BH102" s="517" t="e">
        <f>+AM102/Demography!H$10</f>
        <v>#DIV/0!</v>
      </c>
    </row>
    <row r="103" spans="1:60">
      <c r="A103" s="578">
        <v>98</v>
      </c>
      <c r="B103" s="4">
        <f>Summary_TG!B106</f>
        <v>0</v>
      </c>
      <c r="C103" s="4">
        <f>Summary_TG!C106</f>
        <v>0</v>
      </c>
      <c r="D103">
        <f>Summary_Services!E103</f>
        <v>0</v>
      </c>
      <c r="E103">
        <f>Summary_TG!G106</f>
        <v>0</v>
      </c>
      <c r="F103" s="517">
        <f t="shared" si="28"/>
        <v>0</v>
      </c>
      <c r="G103" s="517">
        <f t="shared" si="29"/>
        <v>0</v>
      </c>
      <c r="H103" s="517">
        <f t="shared" si="30"/>
        <v>0</v>
      </c>
      <c r="I103" s="517">
        <f t="shared" si="31"/>
        <v>0</v>
      </c>
      <c r="J103" s="517">
        <f t="shared" si="32"/>
        <v>0</v>
      </c>
      <c r="K103" s="517">
        <f t="shared" si="33"/>
        <v>0</v>
      </c>
      <c r="L103" s="517"/>
      <c r="M103" s="517">
        <f>IF($B103=0,0,(((VLOOKUP(Summary_Services!$F103,lookup_salaries,8,FALSE))*$E103)))</f>
        <v>0</v>
      </c>
      <c r="N103" s="517">
        <f>IF($B103=0,0,(((VLOOKUP(Summary_Services!$F103,lookup_salaries,8,FALSE))*$E103)))</f>
        <v>0</v>
      </c>
      <c r="O103" s="517">
        <f>IF($B103=0,0,(((VLOOKUP(Summary_Services!$F103,lookup_salaries,8,FALSE))*$E103)))</f>
        <v>0</v>
      </c>
      <c r="P103" s="517">
        <f>IF($B103=0,0,(((VLOOKUP(Summary_Services!$F103,lookup_salaries,8,FALSE))*$E103)))</f>
        <v>0</v>
      </c>
      <c r="Q103" s="517">
        <f>IF($B103=0,0,(((VLOOKUP(Summary_Services!$F103,lookup_salaries,8,FALSE))*$E103)))</f>
        <v>0</v>
      </c>
      <c r="R103" s="517">
        <f>IF($B103=0,0,(((VLOOKUP(Summary_Services!$F103,lookup_salaries,8,FALSE))*$E103)))</f>
        <v>0</v>
      </c>
      <c r="S103" s="517"/>
      <c r="T103" s="517">
        <f>IF(Summary_Services!Y103=0,0,Summary_TG!Q106/Summary_Services!Y103)</f>
        <v>0</v>
      </c>
      <c r="U103" s="517">
        <f>IF(Summary_Services!Z103=0,0,Summary_TG!R106/Summary_Services!Z103)</f>
        <v>0</v>
      </c>
      <c r="V103" s="517">
        <f>IF(Summary_Services!AA103=0,0,Summary_TG!S106/Summary_Services!AA103)</f>
        <v>0</v>
      </c>
      <c r="W103" s="517">
        <f>IF(Summary_Services!AB103=0,0,Summary_TG!T106/Summary_Services!AB103)</f>
        <v>0</v>
      </c>
      <c r="X103" s="517">
        <f>IF(Summary_Services!AC103=0,0,Summary_TG!U106/Summary_Services!AC103)</f>
        <v>0</v>
      </c>
      <c r="Y103" s="517">
        <f>IF(Summary_Services!AD103=0,0,Summary_TG!V106/Summary_Services!AD103)</f>
        <v>0</v>
      </c>
      <c r="Z103" s="517"/>
      <c r="AA103" s="517">
        <f>Summary_Services!R103</f>
        <v>0</v>
      </c>
      <c r="AB103" s="517">
        <f>Summary_Services!S103</f>
        <v>0</v>
      </c>
      <c r="AC103" s="517">
        <f>Summary_Services!T103</f>
        <v>0</v>
      </c>
      <c r="AD103" s="517">
        <f>Summary_Services!U103</f>
        <v>0</v>
      </c>
      <c r="AE103" s="517">
        <f>Summary_Services!V103</f>
        <v>0</v>
      </c>
      <c r="AF103" s="517">
        <f>Summary_Services!W103</f>
        <v>0</v>
      </c>
      <c r="AG103" s="517"/>
      <c r="AH103" s="517">
        <f t="shared" si="34"/>
        <v>0</v>
      </c>
      <c r="AI103" s="517">
        <f t="shared" si="35"/>
        <v>0</v>
      </c>
      <c r="AJ103" s="517">
        <f t="shared" si="36"/>
        <v>0</v>
      </c>
      <c r="AK103" s="517">
        <f t="shared" si="37"/>
        <v>0</v>
      </c>
      <c r="AL103" s="517">
        <f t="shared" si="38"/>
        <v>0</v>
      </c>
      <c r="AM103" s="517">
        <f t="shared" si="39"/>
        <v>0</v>
      </c>
      <c r="AN103" s="517"/>
      <c r="AO103" s="517">
        <f t="shared" si="40"/>
        <v>0</v>
      </c>
      <c r="AP103" s="517">
        <f t="shared" si="41"/>
        <v>0</v>
      </c>
      <c r="AQ103" s="517">
        <f t="shared" si="42"/>
        <v>0</v>
      </c>
      <c r="AR103" s="517">
        <f t="shared" si="43"/>
        <v>0</v>
      </c>
      <c r="AS103" s="517">
        <f t="shared" si="44"/>
        <v>0</v>
      </c>
      <c r="AT103" s="517">
        <f t="shared" si="45"/>
        <v>0</v>
      </c>
      <c r="AU103" s="517"/>
      <c r="AV103" s="517">
        <f t="shared" si="46"/>
        <v>0</v>
      </c>
      <c r="AW103" s="517">
        <f t="shared" si="47"/>
        <v>0</v>
      </c>
      <c r="AX103" s="517">
        <f t="shared" si="48"/>
        <v>0</v>
      </c>
      <c r="AY103" s="517">
        <f t="shared" si="49"/>
        <v>0</v>
      </c>
      <c r="AZ103" s="517">
        <f t="shared" si="50"/>
        <v>0</v>
      </c>
      <c r="BA103" s="517">
        <f t="shared" si="51"/>
        <v>0</v>
      </c>
      <c r="BB103" s="517"/>
      <c r="BC103" s="517" t="e">
        <f>+AH103/Demography!C$10</f>
        <v>#DIV/0!</v>
      </c>
      <c r="BD103" s="517" t="e">
        <f>+AI103/Demography!D$10</f>
        <v>#DIV/0!</v>
      </c>
      <c r="BE103" s="517" t="e">
        <f>+AJ103/Demography!E$10</f>
        <v>#DIV/0!</v>
      </c>
      <c r="BF103" s="517" t="e">
        <f>+AK103/Demography!F$10</f>
        <v>#DIV/0!</v>
      </c>
      <c r="BG103" s="517" t="e">
        <f>+AL103/Demography!G$10</f>
        <v>#DIV/0!</v>
      </c>
      <c r="BH103" s="517" t="e">
        <f>+AM103/Demography!H$10</f>
        <v>#DIV/0!</v>
      </c>
    </row>
    <row r="104" spans="1:60">
      <c r="A104" s="578">
        <v>99</v>
      </c>
      <c r="B104" s="4">
        <f>Summary_TG!B107</f>
        <v>0</v>
      </c>
      <c r="C104" s="4">
        <f>Summary_TG!C107</f>
        <v>0</v>
      </c>
      <c r="D104">
        <f>Summary_Services!E104</f>
        <v>0</v>
      </c>
      <c r="E104">
        <f>Summary_TG!G107</f>
        <v>0</v>
      </c>
      <c r="F104" s="517">
        <f t="shared" si="28"/>
        <v>0</v>
      </c>
      <c r="G104" s="517">
        <f t="shared" si="29"/>
        <v>0</v>
      </c>
      <c r="H104" s="517">
        <f t="shared" si="30"/>
        <v>0</v>
      </c>
      <c r="I104" s="517">
        <f t="shared" si="31"/>
        <v>0</v>
      </c>
      <c r="J104" s="517">
        <f t="shared" si="32"/>
        <v>0</v>
      </c>
      <c r="K104" s="517">
        <f t="shared" si="33"/>
        <v>0</v>
      </c>
      <c r="L104" s="517"/>
      <c r="M104" s="517">
        <f>IF($B104=0,0,(((VLOOKUP(Summary_Services!$F104,lookup_salaries,8,FALSE))*$E104)))</f>
        <v>0</v>
      </c>
      <c r="N104" s="517">
        <f>IF($B104=0,0,(((VLOOKUP(Summary_Services!$F104,lookup_salaries,8,FALSE))*$E104)))</f>
        <v>0</v>
      </c>
      <c r="O104" s="517">
        <f>IF($B104=0,0,(((VLOOKUP(Summary_Services!$F104,lookup_salaries,8,FALSE))*$E104)))</f>
        <v>0</v>
      </c>
      <c r="P104" s="517">
        <f>IF($B104=0,0,(((VLOOKUP(Summary_Services!$F104,lookup_salaries,8,FALSE))*$E104)))</f>
        <v>0</v>
      </c>
      <c r="Q104" s="517">
        <f>IF($B104=0,0,(((VLOOKUP(Summary_Services!$F104,lookup_salaries,8,FALSE))*$E104)))</f>
        <v>0</v>
      </c>
      <c r="R104" s="517">
        <f>IF($B104=0,0,(((VLOOKUP(Summary_Services!$F104,lookup_salaries,8,FALSE))*$E104)))</f>
        <v>0</v>
      </c>
      <c r="S104" s="517"/>
      <c r="T104" s="517">
        <f>IF(Summary_Services!Y104=0,0,Summary_TG!Q107/Summary_Services!Y104)</f>
        <v>0</v>
      </c>
      <c r="U104" s="517">
        <f>IF(Summary_Services!Z104=0,0,Summary_TG!R107/Summary_Services!Z104)</f>
        <v>0</v>
      </c>
      <c r="V104" s="517">
        <f>IF(Summary_Services!AA104=0,0,Summary_TG!S107/Summary_Services!AA104)</f>
        <v>0</v>
      </c>
      <c r="W104" s="517">
        <f>IF(Summary_Services!AB104=0,0,Summary_TG!T107/Summary_Services!AB104)</f>
        <v>0</v>
      </c>
      <c r="X104" s="517">
        <f>IF(Summary_Services!AC104=0,0,Summary_TG!U107/Summary_Services!AC104)</f>
        <v>0</v>
      </c>
      <c r="Y104" s="517">
        <f>IF(Summary_Services!AD104=0,0,Summary_TG!V107/Summary_Services!AD104)</f>
        <v>0</v>
      </c>
      <c r="Z104" s="517"/>
      <c r="AA104" s="517">
        <f>Summary_Services!R104</f>
        <v>0</v>
      </c>
      <c r="AB104" s="517">
        <f>Summary_Services!S104</f>
        <v>0</v>
      </c>
      <c r="AC104" s="517">
        <f>Summary_Services!T104</f>
        <v>0</v>
      </c>
      <c r="AD104" s="517">
        <f>Summary_Services!U104</f>
        <v>0</v>
      </c>
      <c r="AE104" s="517">
        <f>Summary_Services!V104</f>
        <v>0</v>
      </c>
      <c r="AF104" s="517">
        <f>Summary_Services!W104</f>
        <v>0</v>
      </c>
      <c r="AG104" s="517"/>
      <c r="AH104" s="517">
        <f t="shared" si="34"/>
        <v>0</v>
      </c>
      <c r="AI104" s="517">
        <f t="shared" si="35"/>
        <v>0</v>
      </c>
      <c r="AJ104" s="517">
        <f t="shared" si="36"/>
        <v>0</v>
      </c>
      <c r="AK104" s="517">
        <f t="shared" si="37"/>
        <v>0</v>
      </c>
      <c r="AL104" s="517">
        <f t="shared" si="38"/>
        <v>0</v>
      </c>
      <c r="AM104" s="517">
        <f t="shared" si="39"/>
        <v>0</v>
      </c>
      <c r="AN104" s="517"/>
      <c r="AO104" s="517">
        <f t="shared" si="40"/>
        <v>0</v>
      </c>
      <c r="AP104" s="517">
        <f t="shared" si="41"/>
        <v>0</v>
      </c>
      <c r="AQ104" s="517">
        <f t="shared" si="42"/>
        <v>0</v>
      </c>
      <c r="AR104" s="517">
        <f t="shared" si="43"/>
        <v>0</v>
      </c>
      <c r="AS104" s="517">
        <f t="shared" si="44"/>
        <v>0</v>
      </c>
      <c r="AT104" s="517">
        <f t="shared" si="45"/>
        <v>0</v>
      </c>
      <c r="AU104" s="517"/>
      <c r="AV104" s="517">
        <f t="shared" si="46"/>
        <v>0</v>
      </c>
      <c r="AW104" s="517">
        <f t="shared" si="47"/>
        <v>0</v>
      </c>
      <c r="AX104" s="517">
        <f t="shared" si="48"/>
        <v>0</v>
      </c>
      <c r="AY104" s="517">
        <f t="shared" si="49"/>
        <v>0</v>
      </c>
      <c r="AZ104" s="517">
        <f t="shared" si="50"/>
        <v>0</v>
      </c>
      <c r="BA104" s="517">
        <f t="shared" si="51"/>
        <v>0</v>
      </c>
      <c r="BB104" s="517"/>
      <c r="BC104" s="517" t="e">
        <f>+AH104/Demography!C$10</f>
        <v>#DIV/0!</v>
      </c>
      <c r="BD104" s="517" t="e">
        <f>+AI104/Demography!D$10</f>
        <v>#DIV/0!</v>
      </c>
      <c r="BE104" s="517" t="e">
        <f>+AJ104/Demography!E$10</f>
        <v>#DIV/0!</v>
      </c>
      <c r="BF104" s="517" t="e">
        <f>+AK104/Demography!F$10</f>
        <v>#DIV/0!</v>
      </c>
      <c r="BG104" s="517" t="e">
        <f>+AL104/Demography!G$10</f>
        <v>#DIV/0!</v>
      </c>
      <c r="BH104" s="517" t="e">
        <f>+AM104/Demography!H$10</f>
        <v>#DIV/0!</v>
      </c>
    </row>
    <row r="105" spans="1:60">
      <c r="A105" s="578">
        <v>100</v>
      </c>
      <c r="B105" s="4">
        <f>Summary_TG!B108</f>
        <v>0</v>
      </c>
      <c r="C105" s="4">
        <f>Summary_TG!C108</f>
        <v>0</v>
      </c>
      <c r="D105">
        <f>Summary_Services!E105</f>
        <v>0</v>
      </c>
      <c r="E105">
        <f>Summary_TG!G108</f>
        <v>0</v>
      </c>
      <c r="F105" s="517">
        <f t="shared" si="28"/>
        <v>0</v>
      </c>
      <c r="G105" s="517">
        <f t="shared" si="29"/>
        <v>0</v>
      </c>
      <c r="H105" s="517">
        <f t="shared" si="30"/>
        <v>0</v>
      </c>
      <c r="I105" s="517">
        <f t="shared" si="31"/>
        <v>0</v>
      </c>
      <c r="J105" s="517">
        <f t="shared" si="32"/>
        <v>0</v>
      </c>
      <c r="K105" s="517">
        <f t="shared" si="33"/>
        <v>0</v>
      </c>
      <c r="L105" s="517"/>
      <c r="M105" s="517">
        <f>IF($B105=0,0,(((VLOOKUP(Summary_Services!$F105,lookup_salaries,8,FALSE))*$E105)))</f>
        <v>0</v>
      </c>
      <c r="N105" s="517">
        <f>IF($B105=0,0,(((VLOOKUP(Summary_Services!$F105,lookup_salaries,8,FALSE))*$E105)))</f>
        <v>0</v>
      </c>
      <c r="O105" s="517">
        <f>IF($B105=0,0,(((VLOOKUP(Summary_Services!$F105,lookup_salaries,8,FALSE))*$E105)))</f>
        <v>0</v>
      </c>
      <c r="P105" s="517">
        <f>IF($B105=0,0,(((VLOOKUP(Summary_Services!$F105,lookup_salaries,8,FALSE))*$E105)))</f>
        <v>0</v>
      </c>
      <c r="Q105" s="517">
        <f>IF($B105=0,0,(((VLOOKUP(Summary_Services!$F105,lookup_salaries,8,FALSE))*$E105)))</f>
        <v>0</v>
      </c>
      <c r="R105" s="517">
        <f>IF($B105=0,0,(((VLOOKUP(Summary_Services!$F105,lookup_salaries,8,FALSE))*$E105)))</f>
        <v>0</v>
      </c>
      <c r="S105" s="517"/>
      <c r="T105" s="517">
        <f>IF(Summary_Services!Y105=0,0,Summary_TG!Q108/Summary_Services!Y105)</f>
        <v>0</v>
      </c>
      <c r="U105" s="517">
        <f>IF(Summary_Services!Z105=0,0,Summary_TG!R108/Summary_Services!Z105)</f>
        <v>0</v>
      </c>
      <c r="V105" s="517">
        <f>IF(Summary_Services!AA105=0,0,Summary_TG!S108/Summary_Services!AA105)</f>
        <v>0</v>
      </c>
      <c r="W105" s="517">
        <f>IF(Summary_Services!AB105=0,0,Summary_TG!T108/Summary_Services!AB105)</f>
        <v>0</v>
      </c>
      <c r="X105" s="517">
        <f>IF(Summary_Services!AC105=0,0,Summary_TG!U108/Summary_Services!AC105)</f>
        <v>0</v>
      </c>
      <c r="Y105" s="517">
        <f>IF(Summary_Services!AD105=0,0,Summary_TG!V108/Summary_Services!AD105)</f>
        <v>0</v>
      </c>
      <c r="Z105" s="517"/>
      <c r="AA105" s="517">
        <f>Summary_Services!R105</f>
        <v>0</v>
      </c>
      <c r="AB105" s="517">
        <f>Summary_Services!S105</f>
        <v>0</v>
      </c>
      <c r="AC105" s="517">
        <f>Summary_Services!T105</f>
        <v>0</v>
      </c>
      <c r="AD105" s="517">
        <f>Summary_Services!U105</f>
        <v>0</v>
      </c>
      <c r="AE105" s="517">
        <f>Summary_Services!V105</f>
        <v>0</v>
      </c>
      <c r="AF105" s="517">
        <f>Summary_Services!W105</f>
        <v>0</v>
      </c>
      <c r="AG105" s="517"/>
      <c r="AH105" s="517">
        <f t="shared" si="34"/>
        <v>0</v>
      </c>
      <c r="AI105" s="517">
        <f t="shared" si="35"/>
        <v>0</v>
      </c>
      <c r="AJ105" s="517">
        <f t="shared" si="36"/>
        <v>0</v>
      </c>
      <c r="AK105" s="517">
        <f t="shared" si="37"/>
        <v>0</v>
      </c>
      <c r="AL105" s="517">
        <f t="shared" si="38"/>
        <v>0</v>
      </c>
      <c r="AM105" s="517">
        <f t="shared" si="39"/>
        <v>0</v>
      </c>
      <c r="AN105" s="517"/>
      <c r="AO105" s="517">
        <f t="shared" si="40"/>
        <v>0</v>
      </c>
      <c r="AP105" s="517">
        <f t="shared" si="41"/>
        <v>0</v>
      </c>
      <c r="AQ105" s="517">
        <f t="shared" si="42"/>
        <v>0</v>
      </c>
      <c r="AR105" s="517">
        <f t="shared" si="43"/>
        <v>0</v>
      </c>
      <c r="AS105" s="517">
        <f t="shared" si="44"/>
        <v>0</v>
      </c>
      <c r="AT105" s="517">
        <f t="shared" si="45"/>
        <v>0</v>
      </c>
      <c r="AU105" s="517"/>
      <c r="AV105" s="517">
        <f t="shared" si="46"/>
        <v>0</v>
      </c>
      <c r="AW105" s="517">
        <f t="shared" si="47"/>
        <v>0</v>
      </c>
      <c r="AX105" s="517">
        <f t="shared" si="48"/>
        <v>0</v>
      </c>
      <c r="AY105" s="517">
        <f t="shared" si="49"/>
        <v>0</v>
      </c>
      <c r="AZ105" s="517">
        <f t="shared" si="50"/>
        <v>0</v>
      </c>
      <c r="BA105" s="517">
        <f t="shared" si="51"/>
        <v>0</v>
      </c>
      <c r="BB105" s="517"/>
      <c r="BC105" s="517" t="e">
        <f>+AH105/Demography!C$10</f>
        <v>#DIV/0!</v>
      </c>
      <c r="BD105" s="517" t="e">
        <f>+AI105/Demography!D$10</f>
        <v>#DIV/0!</v>
      </c>
      <c r="BE105" s="517" t="e">
        <f>+AJ105/Demography!E$10</f>
        <v>#DIV/0!</v>
      </c>
      <c r="BF105" s="517" t="e">
        <f>+AK105/Demography!F$10</f>
        <v>#DIV/0!</v>
      </c>
      <c r="BG105" s="517" t="e">
        <f>+AL105/Demography!G$10</f>
        <v>#DIV/0!</v>
      </c>
      <c r="BH105" s="517" t="e">
        <f>+AM105/Demography!H$10</f>
        <v>#DIV/0!</v>
      </c>
    </row>
    <row r="106" spans="1:60">
      <c r="A106" s="578">
        <v>101</v>
      </c>
      <c r="B106" s="4">
        <f>Summary_TG!B109</f>
        <v>0</v>
      </c>
      <c r="C106" s="4">
        <f>Summary_TG!C109</f>
        <v>0</v>
      </c>
      <c r="D106">
        <f>Summary_Services!E106</f>
        <v>0</v>
      </c>
      <c r="E106">
        <f>Summary_TG!G109</f>
        <v>0</v>
      </c>
      <c r="F106" s="517">
        <f t="shared" si="28"/>
        <v>0</v>
      </c>
      <c r="G106" s="517">
        <f t="shared" si="29"/>
        <v>0</v>
      </c>
      <c r="H106" s="517">
        <f t="shared" si="30"/>
        <v>0</v>
      </c>
      <c r="I106" s="517">
        <f t="shared" si="31"/>
        <v>0</v>
      </c>
      <c r="J106" s="517">
        <f t="shared" si="32"/>
        <v>0</v>
      </c>
      <c r="K106" s="517">
        <f t="shared" si="33"/>
        <v>0</v>
      </c>
      <c r="L106" s="517"/>
      <c r="M106" s="517">
        <f>IF($B106=0,0,(((VLOOKUP(Summary_Services!$F106,lookup_salaries,8,FALSE))*$E106)))</f>
        <v>0</v>
      </c>
      <c r="N106" s="517">
        <f>IF($B106=0,0,(((VLOOKUP(Summary_Services!$F106,lookup_salaries,8,FALSE))*$E106)))</f>
        <v>0</v>
      </c>
      <c r="O106" s="517">
        <f>IF($B106=0,0,(((VLOOKUP(Summary_Services!$F106,lookup_salaries,8,FALSE))*$E106)))</f>
        <v>0</v>
      </c>
      <c r="P106" s="517">
        <f>IF($B106=0,0,(((VLOOKUP(Summary_Services!$F106,lookup_salaries,8,FALSE))*$E106)))</f>
        <v>0</v>
      </c>
      <c r="Q106" s="517">
        <f>IF($B106=0,0,(((VLOOKUP(Summary_Services!$F106,lookup_salaries,8,FALSE))*$E106)))</f>
        <v>0</v>
      </c>
      <c r="R106" s="517">
        <f>IF($B106=0,0,(((VLOOKUP(Summary_Services!$F106,lookup_salaries,8,FALSE))*$E106)))</f>
        <v>0</v>
      </c>
      <c r="S106" s="517"/>
      <c r="T106" s="517">
        <f>IF(Summary_Services!Y106=0,0,Summary_TG!Q109/Summary_Services!Y106)</f>
        <v>0</v>
      </c>
      <c r="U106" s="517">
        <f>IF(Summary_Services!Z106=0,0,Summary_TG!R109/Summary_Services!Z106)</f>
        <v>0</v>
      </c>
      <c r="V106" s="517">
        <f>IF(Summary_Services!AA106=0,0,Summary_TG!S109/Summary_Services!AA106)</f>
        <v>0</v>
      </c>
      <c r="W106" s="517">
        <f>IF(Summary_Services!AB106=0,0,Summary_TG!T109/Summary_Services!AB106)</f>
        <v>0</v>
      </c>
      <c r="X106" s="517">
        <f>IF(Summary_Services!AC106=0,0,Summary_TG!U109/Summary_Services!AC106)</f>
        <v>0</v>
      </c>
      <c r="Y106" s="517">
        <f>IF(Summary_Services!AD106=0,0,Summary_TG!V109/Summary_Services!AD106)</f>
        <v>0</v>
      </c>
      <c r="Z106" s="517"/>
      <c r="AA106" s="517">
        <f>Summary_Services!R106</f>
        <v>0</v>
      </c>
      <c r="AB106" s="517">
        <f>Summary_Services!S106</f>
        <v>0</v>
      </c>
      <c r="AC106" s="517">
        <f>Summary_Services!T106</f>
        <v>0</v>
      </c>
      <c r="AD106" s="517">
        <f>Summary_Services!U106</f>
        <v>0</v>
      </c>
      <c r="AE106" s="517">
        <f>Summary_Services!V106</f>
        <v>0</v>
      </c>
      <c r="AF106" s="517">
        <f>Summary_Services!W106</f>
        <v>0</v>
      </c>
      <c r="AG106" s="517"/>
      <c r="AH106" s="517">
        <f t="shared" si="34"/>
        <v>0</v>
      </c>
      <c r="AI106" s="517">
        <f t="shared" si="35"/>
        <v>0</v>
      </c>
      <c r="AJ106" s="517">
        <f t="shared" si="36"/>
        <v>0</v>
      </c>
      <c r="AK106" s="517">
        <f t="shared" si="37"/>
        <v>0</v>
      </c>
      <c r="AL106" s="517">
        <f t="shared" si="38"/>
        <v>0</v>
      </c>
      <c r="AM106" s="517">
        <f t="shared" si="39"/>
        <v>0</v>
      </c>
      <c r="AN106" s="517"/>
      <c r="AO106" s="517">
        <f t="shared" si="40"/>
        <v>0</v>
      </c>
      <c r="AP106" s="517">
        <f t="shared" si="41"/>
        <v>0</v>
      </c>
      <c r="AQ106" s="517">
        <f t="shared" si="42"/>
        <v>0</v>
      </c>
      <c r="AR106" s="517">
        <f t="shared" si="43"/>
        <v>0</v>
      </c>
      <c r="AS106" s="517">
        <f t="shared" si="44"/>
        <v>0</v>
      </c>
      <c r="AT106" s="517">
        <f t="shared" si="45"/>
        <v>0</v>
      </c>
      <c r="AU106" s="517"/>
      <c r="AV106" s="517">
        <f t="shared" si="46"/>
        <v>0</v>
      </c>
      <c r="AW106" s="517">
        <f t="shared" si="47"/>
        <v>0</v>
      </c>
      <c r="AX106" s="517">
        <f t="shared" si="48"/>
        <v>0</v>
      </c>
      <c r="AY106" s="517">
        <f t="shared" si="49"/>
        <v>0</v>
      </c>
      <c r="AZ106" s="517">
        <f t="shared" si="50"/>
        <v>0</v>
      </c>
      <c r="BA106" s="517">
        <f t="shared" si="51"/>
        <v>0</v>
      </c>
      <c r="BB106" s="517"/>
      <c r="BC106" s="517" t="e">
        <f>+AH106/Demography!C$10</f>
        <v>#DIV/0!</v>
      </c>
      <c r="BD106" s="517" t="e">
        <f>+AI106/Demography!D$10</f>
        <v>#DIV/0!</v>
      </c>
      <c r="BE106" s="517" t="e">
        <f>+AJ106/Demography!E$10</f>
        <v>#DIV/0!</v>
      </c>
      <c r="BF106" s="517" t="e">
        <f>+AK106/Demography!F$10</f>
        <v>#DIV/0!</v>
      </c>
      <c r="BG106" s="517" t="e">
        <f>+AL106/Demography!G$10</f>
        <v>#DIV/0!</v>
      </c>
      <c r="BH106" s="517" t="e">
        <f>+AM106/Demography!H$10</f>
        <v>#DIV/0!</v>
      </c>
    </row>
    <row r="107" spans="1:60">
      <c r="A107" s="578">
        <v>102</v>
      </c>
      <c r="B107" s="4">
        <f>Summary_TG!B110</f>
        <v>0</v>
      </c>
      <c r="C107" s="4">
        <f>Summary_TG!C110</f>
        <v>0</v>
      </c>
      <c r="D107">
        <f>Summary_Services!E107</f>
        <v>0</v>
      </c>
      <c r="E107">
        <f>Summary_TG!G110</f>
        <v>0</v>
      </c>
      <c r="F107" s="517">
        <f t="shared" si="28"/>
        <v>0</v>
      </c>
      <c r="G107" s="517">
        <f t="shared" si="29"/>
        <v>0</v>
      </c>
      <c r="H107" s="517">
        <f t="shared" si="30"/>
        <v>0</v>
      </c>
      <c r="I107" s="517">
        <f t="shared" si="31"/>
        <v>0</v>
      </c>
      <c r="J107" s="517">
        <f t="shared" si="32"/>
        <v>0</v>
      </c>
      <c r="K107" s="517">
        <f t="shared" si="33"/>
        <v>0</v>
      </c>
      <c r="L107" s="517"/>
      <c r="M107" s="517">
        <f>IF($B107=0,0,(((VLOOKUP(Summary_Services!$F107,lookup_salaries,8,FALSE))*$E107)))</f>
        <v>0</v>
      </c>
      <c r="N107" s="517">
        <f>IF($B107=0,0,(((VLOOKUP(Summary_Services!$F107,lookup_salaries,8,FALSE))*$E107)))</f>
        <v>0</v>
      </c>
      <c r="O107" s="517">
        <f>IF($B107=0,0,(((VLOOKUP(Summary_Services!$F107,lookup_salaries,8,FALSE))*$E107)))</f>
        <v>0</v>
      </c>
      <c r="P107" s="517">
        <f>IF($B107=0,0,(((VLOOKUP(Summary_Services!$F107,lookup_salaries,8,FALSE))*$E107)))</f>
        <v>0</v>
      </c>
      <c r="Q107" s="517">
        <f>IF($B107=0,0,(((VLOOKUP(Summary_Services!$F107,lookup_salaries,8,FALSE))*$E107)))</f>
        <v>0</v>
      </c>
      <c r="R107" s="517">
        <f>IF($B107=0,0,(((VLOOKUP(Summary_Services!$F107,lookup_salaries,8,FALSE))*$E107)))</f>
        <v>0</v>
      </c>
      <c r="S107" s="517"/>
      <c r="T107" s="517">
        <f>IF(Summary_Services!Y107=0,0,Summary_TG!Q110/Summary_Services!Y107)</f>
        <v>0</v>
      </c>
      <c r="U107" s="517">
        <f>IF(Summary_Services!Z107=0,0,Summary_TG!R110/Summary_Services!Z107)</f>
        <v>0</v>
      </c>
      <c r="V107" s="517">
        <f>IF(Summary_Services!AA107=0,0,Summary_TG!S110/Summary_Services!AA107)</f>
        <v>0</v>
      </c>
      <c r="W107" s="517">
        <f>IF(Summary_Services!AB107=0,0,Summary_TG!T110/Summary_Services!AB107)</f>
        <v>0</v>
      </c>
      <c r="X107" s="517">
        <f>IF(Summary_Services!AC107=0,0,Summary_TG!U110/Summary_Services!AC107)</f>
        <v>0</v>
      </c>
      <c r="Y107" s="517">
        <f>IF(Summary_Services!AD107=0,0,Summary_TG!V110/Summary_Services!AD107)</f>
        <v>0</v>
      </c>
      <c r="Z107" s="517"/>
      <c r="AA107" s="517">
        <f>Summary_Services!R107</f>
        <v>0</v>
      </c>
      <c r="AB107" s="517">
        <f>Summary_Services!S107</f>
        <v>0</v>
      </c>
      <c r="AC107" s="517">
        <f>Summary_Services!T107</f>
        <v>0</v>
      </c>
      <c r="AD107" s="517">
        <f>Summary_Services!U107</f>
        <v>0</v>
      </c>
      <c r="AE107" s="517">
        <f>Summary_Services!V107</f>
        <v>0</v>
      </c>
      <c r="AF107" s="517">
        <f>Summary_Services!W107</f>
        <v>0</v>
      </c>
      <c r="AG107" s="517"/>
      <c r="AH107" s="517">
        <f t="shared" si="34"/>
        <v>0</v>
      </c>
      <c r="AI107" s="517">
        <f t="shared" si="35"/>
        <v>0</v>
      </c>
      <c r="AJ107" s="517">
        <f t="shared" si="36"/>
        <v>0</v>
      </c>
      <c r="AK107" s="517">
        <f t="shared" si="37"/>
        <v>0</v>
      </c>
      <c r="AL107" s="517">
        <f t="shared" si="38"/>
        <v>0</v>
      </c>
      <c r="AM107" s="517">
        <f t="shared" si="39"/>
        <v>0</v>
      </c>
      <c r="AN107" s="517"/>
      <c r="AO107" s="517">
        <f t="shared" si="40"/>
        <v>0</v>
      </c>
      <c r="AP107" s="517">
        <f t="shared" si="41"/>
        <v>0</v>
      </c>
      <c r="AQ107" s="517">
        <f t="shared" si="42"/>
        <v>0</v>
      </c>
      <c r="AR107" s="517">
        <f t="shared" si="43"/>
        <v>0</v>
      </c>
      <c r="AS107" s="517">
        <f t="shared" si="44"/>
        <v>0</v>
      </c>
      <c r="AT107" s="517">
        <f t="shared" si="45"/>
        <v>0</v>
      </c>
      <c r="AU107" s="517"/>
      <c r="AV107" s="517">
        <f t="shared" si="46"/>
        <v>0</v>
      </c>
      <c r="AW107" s="517">
        <f t="shared" si="47"/>
        <v>0</v>
      </c>
      <c r="AX107" s="517">
        <f t="shared" si="48"/>
        <v>0</v>
      </c>
      <c r="AY107" s="517">
        <f t="shared" si="49"/>
        <v>0</v>
      </c>
      <c r="AZ107" s="517">
        <f t="shared" si="50"/>
        <v>0</v>
      </c>
      <c r="BA107" s="517">
        <f t="shared" si="51"/>
        <v>0</v>
      </c>
      <c r="BB107" s="517"/>
      <c r="BC107" s="517" t="e">
        <f>+AH107/Demography!C$10</f>
        <v>#DIV/0!</v>
      </c>
      <c r="BD107" s="517" t="e">
        <f>+AI107/Demography!D$10</f>
        <v>#DIV/0!</v>
      </c>
      <c r="BE107" s="517" t="e">
        <f>+AJ107/Demography!E$10</f>
        <v>#DIV/0!</v>
      </c>
      <c r="BF107" s="517" t="e">
        <f>+AK107/Demography!F$10</f>
        <v>#DIV/0!</v>
      </c>
      <c r="BG107" s="517" t="e">
        <f>+AL107/Demography!G$10</f>
        <v>#DIV/0!</v>
      </c>
      <c r="BH107" s="517" t="e">
        <f>+AM107/Demography!H$10</f>
        <v>#DIV/0!</v>
      </c>
    </row>
    <row r="108" spans="1:60">
      <c r="A108" s="578">
        <v>103</v>
      </c>
      <c r="B108" s="4">
        <f>Summary_TG!B111</f>
        <v>0</v>
      </c>
      <c r="C108" s="4">
        <f>Summary_TG!C111</f>
        <v>0</v>
      </c>
      <c r="D108">
        <f>Summary_Services!E108</f>
        <v>0</v>
      </c>
      <c r="E108">
        <f>Summary_TG!G111</f>
        <v>0</v>
      </c>
      <c r="F108" s="517">
        <f t="shared" si="28"/>
        <v>0</v>
      </c>
      <c r="G108" s="517">
        <f t="shared" si="29"/>
        <v>0</v>
      </c>
      <c r="H108" s="517">
        <f t="shared" si="30"/>
        <v>0</v>
      </c>
      <c r="I108" s="517">
        <f t="shared" si="31"/>
        <v>0</v>
      </c>
      <c r="J108" s="517">
        <f t="shared" si="32"/>
        <v>0</v>
      </c>
      <c r="K108" s="517">
        <f t="shared" si="33"/>
        <v>0</v>
      </c>
      <c r="L108" s="517"/>
      <c r="M108" s="517">
        <f>IF($B108=0,0,(((VLOOKUP(Summary_Services!$F108,lookup_salaries,8,FALSE))*$E108)))</f>
        <v>0</v>
      </c>
      <c r="N108" s="517">
        <f>IF($B108=0,0,(((VLOOKUP(Summary_Services!$F108,lookup_salaries,8,FALSE))*$E108)))</f>
        <v>0</v>
      </c>
      <c r="O108" s="517">
        <f>IF($B108=0,0,(((VLOOKUP(Summary_Services!$F108,lookup_salaries,8,FALSE))*$E108)))</f>
        <v>0</v>
      </c>
      <c r="P108" s="517">
        <f>IF($B108=0,0,(((VLOOKUP(Summary_Services!$F108,lookup_salaries,8,FALSE))*$E108)))</f>
        <v>0</v>
      </c>
      <c r="Q108" s="517">
        <f>IF($B108=0,0,(((VLOOKUP(Summary_Services!$F108,lookup_salaries,8,FALSE))*$E108)))</f>
        <v>0</v>
      </c>
      <c r="R108" s="517">
        <f>IF($B108=0,0,(((VLOOKUP(Summary_Services!$F108,lookup_salaries,8,FALSE))*$E108)))</f>
        <v>0</v>
      </c>
      <c r="S108" s="517"/>
      <c r="T108" s="517">
        <f>IF(Summary_Services!Y108=0,0,Summary_TG!Q111/Summary_Services!Y108)</f>
        <v>0</v>
      </c>
      <c r="U108" s="517">
        <f>IF(Summary_Services!Z108=0,0,Summary_TG!R111/Summary_Services!Z108)</f>
        <v>0</v>
      </c>
      <c r="V108" s="517">
        <f>IF(Summary_Services!AA108=0,0,Summary_TG!S111/Summary_Services!AA108)</f>
        <v>0</v>
      </c>
      <c r="W108" s="517">
        <f>IF(Summary_Services!AB108=0,0,Summary_TG!T111/Summary_Services!AB108)</f>
        <v>0</v>
      </c>
      <c r="X108" s="517">
        <f>IF(Summary_Services!AC108=0,0,Summary_TG!U111/Summary_Services!AC108)</f>
        <v>0</v>
      </c>
      <c r="Y108" s="517">
        <f>IF(Summary_Services!AD108=0,0,Summary_TG!V111/Summary_Services!AD108)</f>
        <v>0</v>
      </c>
      <c r="Z108" s="517"/>
      <c r="AA108" s="517">
        <f>Summary_Services!R108</f>
        <v>0</v>
      </c>
      <c r="AB108" s="517">
        <f>Summary_Services!S108</f>
        <v>0</v>
      </c>
      <c r="AC108" s="517">
        <f>Summary_Services!T108</f>
        <v>0</v>
      </c>
      <c r="AD108" s="517">
        <f>Summary_Services!U108</f>
        <v>0</v>
      </c>
      <c r="AE108" s="517">
        <f>Summary_Services!V108</f>
        <v>0</v>
      </c>
      <c r="AF108" s="517">
        <f>Summary_Services!W108</f>
        <v>0</v>
      </c>
      <c r="AG108" s="517"/>
      <c r="AH108" s="517">
        <f t="shared" si="34"/>
        <v>0</v>
      </c>
      <c r="AI108" s="517">
        <f t="shared" si="35"/>
        <v>0</v>
      </c>
      <c r="AJ108" s="517">
        <f t="shared" si="36"/>
        <v>0</v>
      </c>
      <c r="AK108" s="517">
        <f t="shared" si="37"/>
        <v>0</v>
      </c>
      <c r="AL108" s="517">
        <f t="shared" si="38"/>
        <v>0</v>
      </c>
      <c r="AM108" s="517">
        <f t="shared" si="39"/>
        <v>0</v>
      </c>
      <c r="AN108" s="517"/>
      <c r="AO108" s="517">
        <f t="shared" si="40"/>
        <v>0</v>
      </c>
      <c r="AP108" s="517">
        <f t="shared" si="41"/>
        <v>0</v>
      </c>
      <c r="AQ108" s="517">
        <f t="shared" si="42"/>
        <v>0</v>
      </c>
      <c r="AR108" s="517">
        <f t="shared" si="43"/>
        <v>0</v>
      </c>
      <c r="AS108" s="517">
        <f t="shared" si="44"/>
        <v>0</v>
      </c>
      <c r="AT108" s="517">
        <f t="shared" si="45"/>
        <v>0</v>
      </c>
      <c r="AU108" s="517"/>
      <c r="AV108" s="517">
        <f t="shared" si="46"/>
        <v>0</v>
      </c>
      <c r="AW108" s="517">
        <f t="shared" si="47"/>
        <v>0</v>
      </c>
      <c r="AX108" s="517">
        <f t="shared" si="48"/>
        <v>0</v>
      </c>
      <c r="AY108" s="517">
        <f t="shared" si="49"/>
        <v>0</v>
      </c>
      <c r="AZ108" s="517">
        <f t="shared" si="50"/>
        <v>0</v>
      </c>
      <c r="BA108" s="517">
        <f t="shared" si="51"/>
        <v>0</v>
      </c>
      <c r="BB108" s="517"/>
      <c r="BC108" s="517" t="e">
        <f>+AH108/Demography!C$10</f>
        <v>#DIV/0!</v>
      </c>
      <c r="BD108" s="517" t="e">
        <f>+AI108/Demography!D$10</f>
        <v>#DIV/0!</v>
      </c>
      <c r="BE108" s="517" t="e">
        <f>+AJ108/Demography!E$10</f>
        <v>#DIV/0!</v>
      </c>
      <c r="BF108" s="517" t="e">
        <f>+AK108/Demography!F$10</f>
        <v>#DIV/0!</v>
      </c>
      <c r="BG108" s="517" t="e">
        <f>+AL108/Demography!G$10</f>
        <v>#DIV/0!</v>
      </c>
      <c r="BH108" s="517" t="e">
        <f>+AM108/Demography!H$10</f>
        <v>#DIV/0!</v>
      </c>
    </row>
  </sheetData>
  <mergeCells count="8">
    <mergeCell ref="AV4:BA4"/>
    <mergeCell ref="BC4:BH4"/>
    <mergeCell ref="AH4:AL4"/>
    <mergeCell ref="F4:K4"/>
    <mergeCell ref="M4:R4"/>
    <mergeCell ref="T4:Y4"/>
    <mergeCell ref="AA4:AF4"/>
    <mergeCell ref="AO4:AT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zoomScale="80" zoomScaleNormal="80" workbookViewId="0">
      <selection activeCell="B4" sqref="B4"/>
    </sheetView>
  </sheetViews>
  <sheetFormatPr baseColWidth="10" defaultColWidth="8.88671875" defaultRowHeight="14.4"/>
  <cols>
    <col min="1" max="1" width="5.109375" customWidth="1"/>
    <col min="10" max="10" width="18.109375" customWidth="1"/>
  </cols>
  <sheetData>
    <row r="1" spans="1:18" ht="9.4499999999999993" customHeight="1"/>
    <row r="2" spans="1:18" s="722" customFormat="1" ht="42.45" customHeight="1">
      <c r="A2" s="1056" t="s">
        <v>1539</v>
      </c>
      <c r="B2" s="1056"/>
      <c r="C2" s="1056"/>
      <c r="D2" s="1056"/>
      <c r="E2" s="1056"/>
      <c r="F2" s="1056"/>
      <c r="G2" s="1056"/>
      <c r="H2" s="1056"/>
      <c r="I2" s="1056"/>
      <c r="J2" s="1056"/>
      <c r="K2" s="1056"/>
      <c r="L2" s="1056"/>
      <c r="M2" s="1056"/>
      <c r="N2" s="1056"/>
      <c r="O2" s="1056"/>
      <c r="P2" s="1056"/>
    </row>
    <row r="3" spans="1:18" s="51" customFormat="1">
      <c r="A3" s="51" t="s">
        <v>1441</v>
      </c>
    </row>
    <row r="4" spans="1:18">
      <c r="B4" s="231" t="str">
        <f>Title!B3</f>
        <v>v1 as of: 12-August-2021</v>
      </c>
    </row>
    <row r="6" spans="1:18" ht="18">
      <c r="B6" s="1057" t="s">
        <v>1540</v>
      </c>
      <c r="C6" s="1057"/>
      <c r="D6" s="1057"/>
      <c r="E6" s="1057"/>
      <c r="F6" s="1057"/>
      <c r="G6" s="1057"/>
      <c r="H6" s="1057"/>
      <c r="I6" s="1057"/>
      <c r="J6" s="1057"/>
      <c r="K6" s="1057"/>
      <c r="L6" s="1057"/>
      <c r="M6" s="1057"/>
      <c r="N6" s="1057"/>
      <c r="O6" s="1057"/>
      <c r="P6" s="1057"/>
      <c r="Q6" s="1057"/>
      <c r="R6" s="1057"/>
    </row>
    <row r="7" spans="1:18">
      <c r="B7" s="729"/>
      <c r="C7" s="729"/>
      <c r="D7" s="729"/>
      <c r="E7" s="729"/>
      <c r="F7" s="729"/>
      <c r="G7" s="729"/>
      <c r="H7" s="729"/>
      <c r="I7" s="729"/>
      <c r="J7" s="729"/>
      <c r="K7" s="729"/>
      <c r="L7" s="729"/>
      <c r="M7" s="729"/>
      <c r="N7" s="729"/>
      <c r="O7" s="729"/>
      <c r="P7" s="729"/>
      <c r="Q7" s="725"/>
      <c r="R7" s="725"/>
    </row>
    <row r="8" spans="1:18">
      <c r="B8" s="1058" t="s">
        <v>1542</v>
      </c>
      <c r="C8" s="1058"/>
      <c r="D8" s="1058"/>
      <c r="E8" s="1058"/>
      <c r="F8" s="1058"/>
      <c r="G8" s="1058"/>
      <c r="H8" s="1058"/>
      <c r="I8" s="1058"/>
      <c r="J8" s="1058"/>
      <c r="K8" s="1058"/>
      <c r="L8" s="1058"/>
      <c r="M8" s="1058"/>
      <c r="N8" s="1058"/>
      <c r="O8" s="1058"/>
      <c r="P8" s="1058"/>
      <c r="Q8" s="1058"/>
      <c r="R8" s="1058"/>
    </row>
    <row r="9" spans="1:18">
      <c r="B9" s="1058"/>
      <c r="C9" s="1058"/>
      <c r="D9" s="1058"/>
      <c r="E9" s="1058"/>
      <c r="F9" s="1058"/>
      <c r="G9" s="1058"/>
      <c r="H9" s="1058"/>
      <c r="I9" s="1058"/>
      <c r="J9" s="1058"/>
      <c r="K9" s="1058"/>
      <c r="L9" s="1058"/>
      <c r="M9" s="1058"/>
      <c r="N9" s="1058"/>
      <c r="O9" s="1058"/>
      <c r="P9" s="1058"/>
      <c r="Q9" s="1058"/>
      <c r="R9" s="1058"/>
    </row>
    <row r="10" spans="1:18">
      <c r="B10" s="1058"/>
      <c r="C10" s="1058"/>
      <c r="D10" s="1058"/>
      <c r="E10" s="1058"/>
      <c r="F10" s="1058"/>
      <c r="G10" s="1058"/>
      <c r="H10" s="1058"/>
      <c r="I10" s="1058"/>
      <c r="J10" s="1058"/>
      <c r="K10" s="1058"/>
      <c r="L10" s="1058"/>
      <c r="M10" s="1058"/>
      <c r="N10" s="1058"/>
      <c r="O10" s="1058"/>
      <c r="P10" s="1058"/>
      <c r="Q10" s="1058"/>
      <c r="R10" s="1058"/>
    </row>
    <row r="11" spans="1:18">
      <c r="B11" s="1058"/>
      <c r="C11" s="1058"/>
      <c r="D11" s="1058"/>
      <c r="E11" s="1058"/>
      <c r="F11" s="1058"/>
      <c r="G11" s="1058"/>
      <c r="H11" s="1058"/>
      <c r="I11" s="1058"/>
      <c r="J11" s="1058"/>
      <c r="K11" s="1058"/>
      <c r="L11" s="1058"/>
      <c r="M11" s="1058"/>
      <c r="N11" s="1058"/>
      <c r="O11" s="1058"/>
      <c r="P11" s="1058"/>
      <c r="Q11" s="1058"/>
      <c r="R11" s="1058"/>
    </row>
    <row r="12" spans="1:18">
      <c r="B12" s="1058"/>
      <c r="C12" s="1058"/>
      <c r="D12" s="1058"/>
      <c r="E12" s="1058"/>
      <c r="F12" s="1058"/>
      <c r="G12" s="1058"/>
      <c r="H12" s="1058"/>
      <c r="I12" s="1058"/>
      <c r="J12" s="1058"/>
      <c r="K12" s="1058"/>
      <c r="L12" s="1058"/>
      <c r="M12" s="1058"/>
      <c r="N12" s="1058"/>
      <c r="O12" s="1058"/>
      <c r="P12" s="1058"/>
      <c r="Q12" s="1058"/>
      <c r="R12" s="1058"/>
    </row>
    <row r="14" spans="1:18">
      <c r="B14" s="4" t="s">
        <v>1442</v>
      </c>
      <c r="C14" s="4"/>
      <c r="Q14" s="725"/>
      <c r="R14" s="725"/>
    </row>
    <row r="15" spans="1:18" ht="15.6">
      <c r="B15" s="730" t="s">
        <v>1443</v>
      </c>
      <c r="C15" s="16"/>
      <c r="D15" s="16"/>
      <c r="E15" s="16"/>
      <c r="F15" s="16"/>
      <c r="G15" s="16"/>
      <c r="H15" s="16"/>
      <c r="I15" s="16"/>
      <c r="J15" s="16"/>
      <c r="K15" s="16"/>
      <c r="L15" s="16"/>
      <c r="M15" s="16"/>
      <c r="N15" s="16"/>
      <c r="O15" s="16"/>
      <c r="P15" s="16"/>
      <c r="Q15" s="16"/>
      <c r="R15" s="725"/>
    </row>
    <row r="16" spans="1:18" ht="15.6">
      <c r="B16" s="730" t="s">
        <v>1444</v>
      </c>
      <c r="C16" s="16"/>
      <c r="D16" s="16"/>
      <c r="E16" s="16"/>
      <c r="F16" s="16"/>
      <c r="G16" s="16"/>
      <c r="H16" s="16"/>
      <c r="I16" s="16"/>
      <c r="J16" s="16"/>
      <c r="K16" s="16"/>
      <c r="L16" s="16"/>
      <c r="M16" s="16"/>
      <c r="N16" s="16"/>
      <c r="O16" s="16"/>
      <c r="P16" s="16"/>
      <c r="Q16" s="16"/>
    </row>
    <row r="17" spans="2:18" ht="15" thickBot="1"/>
    <row r="18" spans="2:18" ht="15" thickBot="1">
      <c r="B18" s="698" t="s">
        <v>1445</v>
      </c>
      <c r="C18" s="731"/>
      <c r="D18" s="731"/>
      <c r="E18" s="731"/>
      <c r="F18" s="731"/>
      <c r="G18" s="731"/>
      <c r="H18" s="731"/>
      <c r="I18" s="731"/>
      <c r="J18" s="731"/>
      <c r="K18" s="731"/>
      <c r="L18" s="731"/>
      <c r="M18" s="731"/>
      <c r="N18" s="731"/>
      <c r="O18" s="731"/>
      <c r="P18" s="731"/>
      <c r="Q18" s="732"/>
      <c r="R18" s="733"/>
    </row>
    <row r="20" spans="2:18" ht="15" thickBot="1"/>
    <row r="21" spans="2:18" ht="15" thickBot="1">
      <c r="B21" s="1059" t="s">
        <v>1481</v>
      </c>
      <c r="C21" s="1060"/>
      <c r="D21" s="1060" t="s">
        <v>1482</v>
      </c>
      <c r="E21" s="1060"/>
      <c r="F21" s="1061" t="s">
        <v>4</v>
      </c>
      <c r="G21" s="1061"/>
      <c r="H21" s="1061" t="s">
        <v>1483</v>
      </c>
      <c r="I21" s="1061"/>
      <c r="J21" s="1061"/>
      <c r="K21" s="1061" t="s">
        <v>1484</v>
      </c>
      <c r="L21" s="1061"/>
      <c r="M21" s="1061"/>
      <c r="N21" s="1061"/>
      <c r="O21" s="1061"/>
      <c r="P21" s="1061"/>
      <c r="Q21" s="732"/>
      <c r="R21" s="733"/>
    </row>
    <row r="22" spans="2:18">
      <c r="B22" s="994"/>
      <c r="C22" s="995"/>
      <c r="D22" s="995"/>
      <c r="E22" s="995"/>
      <c r="F22" s="995"/>
      <c r="G22" s="995"/>
      <c r="H22" s="14"/>
      <c r="I22" s="14"/>
      <c r="J22" s="995"/>
      <c r="K22" s="995"/>
      <c r="L22" s="995"/>
      <c r="M22" s="995"/>
      <c r="N22" s="995"/>
      <c r="O22" s="995"/>
      <c r="P22" s="995"/>
      <c r="Q22" s="995"/>
      <c r="R22" s="996"/>
    </row>
    <row r="23" spans="2:18">
      <c r="B23" s="46"/>
      <c r="C23" s="337"/>
      <c r="D23" s="337"/>
      <c r="E23" s="337"/>
      <c r="F23" s="337"/>
      <c r="G23" s="337"/>
      <c r="H23" s="1037" t="s">
        <v>1496</v>
      </c>
      <c r="I23" s="245"/>
      <c r="J23" s="337"/>
      <c r="K23" s="960" t="s">
        <v>1517</v>
      </c>
      <c r="L23" s="337"/>
      <c r="M23" s="337"/>
      <c r="N23" s="337"/>
      <c r="O23" s="337"/>
      <c r="P23" s="337"/>
      <c r="Q23" s="337"/>
      <c r="R23" s="47"/>
    </row>
    <row r="24" spans="2:18">
      <c r="B24" s="46"/>
      <c r="C24" s="337"/>
      <c r="D24" s="337"/>
      <c r="E24" s="337"/>
      <c r="F24" s="337"/>
      <c r="G24" s="337"/>
      <c r="H24" s="1037" t="s">
        <v>1497</v>
      </c>
      <c r="I24" s="245"/>
      <c r="J24" s="337"/>
      <c r="K24" s="960" t="s">
        <v>1518</v>
      </c>
      <c r="L24" s="337"/>
      <c r="M24" s="337"/>
      <c r="N24" s="337"/>
      <c r="O24" s="337"/>
      <c r="P24" s="337"/>
      <c r="Q24" s="337"/>
      <c r="R24" s="47"/>
    </row>
    <row r="25" spans="2:18">
      <c r="B25" s="46"/>
      <c r="C25" s="337"/>
      <c r="D25" s="337"/>
      <c r="E25" s="337"/>
      <c r="F25" s="337"/>
      <c r="G25" s="337"/>
      <c r="H25" s="1037" t="s">
        <v>1498</v>
      </c>
      <c r="I25" s="245"/>
      <c r="J25" s="337"/>
      <c r="K25" s="960" t="s">
        <v>1519</v>
      </c>
      <c r="L25" s="337"/>
      <c r="M25" s="337"/>
      <c r="N25" s="337"/>
      <c r="O25" s="337"/>
      <c r="P25" s="337"/>
      <c r="Q25" s="337"/>
      <c r="R25" s="47"/>
    </row>
    <row r="26" spans="2:18">
      <c r="B26" s="46"/>
      <c r="C26" s="337"/>
      <c r="D26" s="337"/>
      <c r="E26" s="337"/>
      <c r="F26" s="337"/>
      <c r="G26" s="337"/>
      <c r="H26" s="1038" t="s">
        <v>1499</v>
      </c>
      <c r="I26" s="245"/>
      <c r="J26" s="337"/>
      <c r="K26" s="960" t="s">
        <v>1520</v>
      </c>
      <c r="L26" s="337"/>
      <c r="M26" s="337"/>
      <c r="N26" s="337"/>
      <c r="O26" s="337"/>
      <c r="P26" s="337"/>
      <c r="Q26" s="337"/>
      <c r="R26" s="47"/>
    </row>
    <row r="27" spans="2:18">
      <c r="B27" s="46"/>
      <c r="C27" s="337"/>
      <c r="D27" s="337"/>
      <c r="E27" s="337"/>
      <c r="F27" s="337"/>
      <c r="G27" s="337"/>
      <c r="H27" s="1038" t="s">
        <v>1500</v>
      </c>
      <c r="I27" s="245"/>
      <c r="J27" s="337"/>
      <c r="K27" s="960" t="s">
        <v>1521</v>
      </c>
      <c r="L27" s="337"/>
      <c r="M27" s="337"/>
      <c r="N27" s="337"/>
      <c r="O27" s="337"/>
      <c r="P27" s="337"/>
      <c r="Q27" s="337"/>
      <c r="R27" s="47"/>
    </row>
    <row r="28" spans="2:18">
      <c r="B28" s="46"/>
      <c r="C28" s="337"/>
      <c r="D28" s="337"/>
      <c r="E28" s="337"/>
      <c r="F28" s="337"/>
      <c r="G28" s="337"/>
      <c r="H28" s="1038" t="s">
        <v>1510</v>
      </c>
      <c r="I28" s="245"/>
      <c r="J28" s="337"/>
      <c r="K28" s="960" t="s">
        <v>1527</v>
      </c>
      <c r="L28" s="337"/>
      <c r="M28" s="337"/>
      <c r="N28" s="337"/>
      <c r="O28" s="337"/>
      <c r="P28" s="337"/>
      <c r="Q28" s="337"/>
      <c r="R28" s="47"/>
    </row>
    <row r="29" spans="2:18">
      <c r="B29" s="46"/>
      <c r="C29" s="337"/>
      <c r="D29" s="337"/>
      <c r="E29" s="337"/>
      <c r="F29" s="337"/>
      <c r="G29" s="337"/>
      <c r="H29" s="1038" t="s">
        <v>1501</v>
      </c>
      <c r="I29" s="245"/>
      <c r="J29" s="337"/>
      <c r="K29" s="960" t="s">
        <v>1538</v>
      </c>
      <c r="L29" s="337"/>
      <c r="M29" s="337"/>
      <c r="N29" s="337"/>
      <c r="O29" s="337"/>
      <c r="P29" s="337"/>
      <c r="Q29" s="337"/>
      <c r="R29" s="47"/>
    </row>
    <row r="30" spans="2:18">
      <c r="B30" s="46"/>
      <c r="C30" s="337"/>
      <c r="D30" s="337"/>
      <c r="E30" s="337"/>
      <c r="F30" s="337"/>
      <c r="G30" s="337"/>
      <c r="H30" s="1038" t="s">
        <v>1502</v>
      </c>
      <c r="I30" s="245"/>
      <c r="J30" s="337"/>
      <c r="K30" s="960" t="s">
        <v>1522</v>
      </c>
      <c r="L30" s="337"/>
      <c r="M30" s="337"/>
      <c r="N30" s="337"/>
      <c r="O30" s="337"/>
      <c r="P30" s="337"/>
      <c r="Q30" s="337"/>
      <c r="R30" s="47"/>
    </row>
    <row r="31" spans="2:18">
      <c r="B31" s="46"/>
      <c r="C31" s="337"/>
      <c r="D31" s="337"/>
      <c r="E31" s="337"/>
      <c r="F31" s="337"/>
      <c r="G31" s="337"/>
      <c r="H31" s="1038" t="s">
        <v>1495</v>
      </c>
      <c r="I31" s="245"/>
      <c r="J31" s="337"/>
      <c r="K31" s="960" t="s">
        <v>1523</v>
      </c>
      <c r="L31" s="337"/>
      <c r="M31" s="337"/>
      <c r="N31" s="337"/>
      <c r="O31" s="337"/>
      <c r="P31" s="337"/>
      <c r="Q31" s="337"/>
      <c r="R31" s="47"/>
    </row>
    <row r="32" spans="2:18">
      <c r="B32" s="46"/>
      <c r="C32" s="337"/>
      <c r="D32" s="337"/>
      <c r="E32" s="337"/>
      <c r="F32" s="337"/>
      <c r="G32" s="337"/>
      <c r="H32" s="1039" t="s">
        <v>1514</v>
      </c>
      <c r="I32" s="4"/>
      <c r="J32" s="337"/>
      <c r="K32" s="960" t="s">
        <v>1524</v>
      </c>
      <c r="L32" s="337"/>
      <c r="M32" s="337"/>
      <c r="N32" s="337"/>
      <c r="O32" s="337"/>
      <c r="P32" s="337"/>
      <c r="Q32" s="337"/>
      <c r="R32" s="47"/>
    </row>
    <row r="33" spans="2:18">
      <c r="B33" s="46"/>
      <c r="C33" s="337"/>
      <c r="D33" s="337"/>
      <c r="E33" s="337"/>
      <c r="F33" s="337"/>
      <c r="G33" s="337"/>
      <c r="H33" s="1038" t="s">
        <v>1339</v>
      </c>
      <c r="I33" s="245"/>
      <c r="J33" s="337"/>
      <c r="K33" s="960" t="s">
        <v>1525</v>
      </c>
      <c r="L33" s="337"/>
      <c r="M33" s="337"/>
      <c r="N33" s="337"/>
      <c r="O33" s="337"/>
      <c r="P33" s="337"/>
      <c r="Q33" s="337"/>
      <c r="R33" s="47"/>
    </row>
    <row r="34" spans="2:18">
      <c r="B34" s="46"/>
      <c r="C34" s="337"/>
      <c r="D34" s="337"/>
      <c r="E34" s="337"/>
      <c r="F34" s="337"/>
      <c r="G34" s="337"/>
      <c r="H34" s="1038" t="s">
        <v>1546</v>
      </c>
      <c r="I34" s="245"/>
      <c r="J34" s="337"/>
      <c r="K34" s="960" t="s">
        <v>1547</v>
      </c>
      <c r="L34" s="337"/>
      <c r="M34" s="337"/>
      <c r="N34" s="337"/>
      <c r="O34" s="337"/>
      <c r="P34" s="337"/>
      <c r="Q34" s="337"/>
      <c r="R34" s="47"/>
    </row>
    <row r="35" spans="2:18">
      <c r="B35" s="46"/>
      <c r="C35" s="337"/>
      <c r="D35" s="337"/>
      <c r="E35" s="337"/>
      <c r="F35" s="337"/>
      <c r="G35" s="337"/>
      <c r="H35" s="1038" t="s">
        <v>1398</v>
      </c>
      <c r="I35" s="245"/>
      <c r="J35" s="337"/>
      <c r="K35" s="960" t="s">
        <v>1526</v>
      </c>
      <c r="L35" s="337"/>
      <c r="M35" s="337"/>
      <c r="N35" s="337"/>
      <c r="O35" s="337"/>
      <c r="P35" s="337"/>
      <c r="Q35" s="337"/>
      <c r="R35" s="47"/>
    </row>
    <row r="36" spans="2:18">
      <c r="B36" s="46"/>
      <c r="C36" s="337"/>
      <c r="D36" s="337"/>
      <c r="E36" s="337"/>
      <c r="F36" s="337"/>
      <c r="G36" s="337"/>
      <c r="H36" s="4"/>
      <c r="I36" s="4"/>
      <c r="J36" s="337"/>
      <c r="K36" s="960"/>
      <c r="L36" s="337"/>
      <c r="M36" s="337"/>
      <c r="N36" s="337"/>
      <c r="O36" s="337"/>
      <c r="P36" s="337"/>
      <c r="Q36" s="337"/>
      <c r="R36" s="47"/>
    </row>
    <row r="37" spans="2:18">
      <c r="B37" s="46"/>
      <c r="C37" s="337"/>
      <c r="D37" s="337"/>
      <c r="E37" s="337"/>
      <c r="F37" s="337"/>
      <c r="G37" s="337"/>
      <c r="H37" s="1038" t="s">
        <v>1503</v>
      </c>
      <c r="I37" s="245"/>
      <c r="J37" s="337"/>
      <c r="K37" s="960" t="s">
        <v>1528</v>
      </c>
      <c r="L37" s="337"/>
      <c r="M37" s="337"/>
      <c r="N37" s="337"/>
      <c r="O37" s="337"/>
      <c r="P37" s="337"/>
      <c r="Q37" s="337"/>
      <c r="R37" s="47"/>
    </row>
    <row r="38" spans="2:18">
      <c r="B38" s="46"/>
      <c r="C38" s="337"/>
      <c r="D38" s="337"/>
      <c r="E38" s="337"/>
      <c r="F38" s="337"/>
      <c r="G38" s="337"/>
      <c r="H38" s="1038" t="s">
        <v>1504</v>
      </c>
      <c r="I38" s="245"/>
      <c r="J38" s="337"/>
      <c r="K38" s="960" t="s">
        <v>1529</v>
      </c>
      <c r="L38" s="337"/>
      <c r="M38" s="337"/>
      <c r="N38" s="337"/>
      <c r="O38" s="337"/>
      <c r="P38" s="337"/>
      <c r="Q38" s="337"/>
      <c r="R38" s="47"/>
    </row>
    <row r="39" spans="2:18">
      <c r="B39" s="46"/>
      <c r="C39" s="337"/>
      <c r="D39" s="337"/>
      <c r="E39" s="337"/>
      <c r="F39" s="337"/>
      <c r="G39" s="337"/>
      <c r="H39" s="1038" t="s">
        <v>1505</v>
      </c>
      <c r="I39" s="245"/>
      <c r="J39" s="337"/>
      <c r="K39" s="960" t="s">
        <v>1530</v>
      </c>
      <c r="L39" s="337"/>
      <c r="M39" s="337"/>
      <c r="N39" s="337"/>
      <c r="O39" s="337"/>
      <c r="P39" s="337"/>
      <c r="Q39" s="337"/>
      <c r="R39" s="47"/>
    </row>
    <row r="40" spans="2:18" ht="15" thickBot="1">
      <c r="B40" s="997"/>
      <c r="C40" s="998"/>
      <c r="D40" s="998"/>
      <c r="E40" s="998"/>
      <c r="F40" s="998"/>
      <c r="G40" s="998"/>
      <c r="H40" s="998"/>
      <c r="I40" s="998"/>
      <c r="J40" s="998"/>
      <c r="K40" s="35"/>
      <c r="L40" s="998"/>
      <c r="M40" s="998"/>
      <c r="N40" s="998"/>
      <c r="O40" s="998"/>
      <c r="P40" s="998"/>
      <c r="Q40" s="998"/>
      <c r="R40" s="999"/>
    </row>
    <row r="42" spans="2:18">
      <c r="B42" s="4" t="s">
        <v>1506</v>
      </c>
    </row>
    <row r="43" spans="2:18">
      <c r="B43" s="4"/>
    </row>
    <row r="44" spans="2:18">
      <c r="B44" s="725" t="s">
        <v>1507</v>
      </c>
    </row>
    <row r="45" spans="2:18">
      <c r="B45" s="725" t="s">
        <v>1508</v>
      </c>
    </row>
    <row r="46" spans="2:18" ht="15" thickBot="1"/>
    <row r="47" spans="2:18" ht="15" thickBot="1">
      <c r="B47" s="1062" t="s">
        <v>1481</v>
      </c>
      <c r="C47" s="1063"/>
      <c r="D47" s="1063" t="s">
        <v>1482</v>
      </c>
      <c r="E47" s="1063"/>
      <c r="F47" s="1064" t="s">
        <v>4</v>
      </c>
      <c r="G47" s="1064"/>
      <c r="H47" s="1064" t="s">
        <v>1483</v>
      </c>
      <c r="I47" s="1064"/>
      <c r="J47" s="1064"/>
      <c r="K47" s="1064" t="s">
        <v>1484</v>
      </c>
      <c r="L47" s="1064"/>
      <c r="M47" s="1064"/>
      <c r="N47" s="1064"/>
      <c r="O47" s="1064"/>
      <c r="P47" s="1064"/>
      <c r="Q47" s="995"/>
      <c r="R47" s="996"/>
    </row>
    <row r="48" spans="2:18">
      <c r="B48" s="994"/>
      <c r="C48" s="995"/>
      <c r="D48" s="995"/>
      <c r="E48" s="995"/>
      <c r="F48" s="995"/>
      <c r="G48" s="995"/>
      <c r="H48" s="14"/>
      <c r="I48" s="995"/>
      <c r="J48" s="995"/>
      <c r="K48" s="995"/>
      <c r="L48" s="995"/>
      <c r="M48" s="995"/>
      <c r="N48" s="995"/>
      <c r="O48" s="995"/>
      <c r="P48" s="995"/>
      <c r="Q48" s="995"/>
      <c r="R48" s="996"/>
    </row>
    <row r="49" spans="2:18">
      <c r="B49" s="46"/>
      <c r="C49" s="337"/>
      <c r="D49" s="337"/>
      <c r="E49" s="337"/>
      <c r="F49" s="337"/>
      <c r="G49" s="337"/>
      <c r="H49" s="1037" t="s">
        <v>1509</v>
      </c>
      <c r="I49" s="337"/>
      <c r="J49" s="337"/>
      <c r="K49" s="245" t="s">
        <v>1531</v>
      </c>
      <c r="L49" s="337"/>
      <c r="M49" s="337"/>
      <c r="N49" s="337"/>
      <c r="O49" s="337"/>
      <c r="P49" s="337"/>
      <c r="Q49" s="337"/>
      <c r="R49" s="47"/>
    </row>
    <row r="50" spans="2:18">
      <c r="B50" s="46"/>
      <c r="C50" s="337"/>
      <c r="D50" s="337"/>
      <c r="E50" s="337"/>
      <c r="F50" s="337"/>
      <c r="G50" s="337"/>
      <c r="H50" s="1037" t="s">
        <v>1511</v>
      </c>
      <c r="I50" s="337"/>
      <c r="J50" s="337"/>
      <c r="K50" s="245" t="s">
        <v>1532</v>
      </c>
      <c r="L50" s="337"/>
      <c r="M50" s="337"/>
      <c r="N50" s="337"/>
      <c r="O50" s="337"/>
      <c r="P50" s="337"/>
      <c r="Q50" s="337"/>
      <c r="R50" s="47"/>
    </row>
    <row r="51" spans="2:18">
      <c r="B51" s="46"/>
      <c r="C51" s="337"/>
      <c r="D51" s="337"/>
      <c r="E51" s="337"/>
      <c r="F51" s="337"/>
      <c r="G51" s="337"/>
      <c r="H51" s="1037" t="s">
        <v>1512</v>
      </c>
      <c r="I51" s="337"/>
      <c r="J51" s="337"/>
      <c r="K51" s="245" t="s">
        <v>1533</v>
      </c>
      <c r="L51" s="337"/>
      <c r="M51" s="337"/>
      <c r="N51" s="337"/>
      <c r="O51" s="337"/>
      <c r="P51" s="337"/>
      <c r="Q51" s="337"/>
      <c r="R51" s="47"/>
    </row>
    <row r="52" spans="2:18">
      <c r="B52" s="46"/>
      <c r="C52" s="337"/>
      <c r="D52" s="337"/>
      <c r="E52" s="337"/>
      <c r="F52" s="337"/>
      <c r="G52" s="337"/>
      <c r="H52" s="1037" t="s">
        <v>1513</v>
      </c>
      <c r="I52" s="337"/>
      <c r="J52" s="337"/>
      <c r="K52" s="245" t="s">
        <v>1534</v>
      </c>
      <c r="L52" s="337"/>
      <c r="M52" s="337"/>
      <c r="N52" s="337"/>
      <c r="O52" s="337"/>
      <c r="P52" s="337"/>
      <c r="Q52" s="337"/>
      <c r="R52" s="47"/>
    </row>
    <row r="53" spans="2:18">
      <c r="B53" s="46"/>
      <c r="C53" s="337"/>
      <c r="D53" s="337"/>
      <c r="E53" s="337"/>
      <c r="F53" s="337"/>
      <c r="G53" s="337"/>
      <c r="H53" s="1037" t="s">
        <v>1515</v>
      </c>
      <c r="I53" s="337"/>
      <c r="J53" s="337"/>
      <c r="K53" s="245" t="s">
        <v>1535</v>
      </c>
      <c r="L53" s="337"/>
      <c r="M53" s="337"/>
      <c r="N53" s="337"/>
      <c r="O53" s="337"/>
      <c r="P53" s="337"/>
      <c r="Q53" s="337"/>
      <c r="R53" s="47"/>
    </row>
    <row r="54" spans="2:18">
      <c r="B54" s="46"/>
      <c r="C54" s="337"/>
      <c r="D54" s="337"/>
      <c r="E54" s="337"/>
      <c r="F54" s="337"/>
      <c r="G54" s="337"/>
      <c r="H54" s="1037" t="s">
        <v>1342</v>
      </c>
      <c r="I54" s="337"/>
      <c r="J54" s="337"/>
      <c r="K54" s="245" t="s">
        <v>1536</v>
      </c>
      <c r="L54" s="337"/>
      <c r="M54" s="337"/>
      <c r="N54" s="337"/>
      <c r="O54" s="337"/>
      <c r="P54" s="337"/>
      <c r="Q54" s="337"/>
      <c r="R54" s="47"/>
    </row>
    <row r="55" spans="2:18">
      <c r="B55" s="46"/>
      <c r="C55" s="337"/>
      <c r="D55" s="337"/>
      <c r="E55" s="337"/>
      <c r="F55" s="337"/>
      <c r="G55" s="337"/>
      <c r="H55" s="1037" t="s">
        <v>1516</v>
      </c>
      <c r="I55" s="337"/>
      <c r="J55" s="337"/>
      <c r="K55" s="245" t="s">
        <v>1537</v>
      </c>
      <c r="L55" s="337"/>
      <c r="M55" s="337"/>
      <c r="N55" s="337"/>
      <c r="O55" s="337"/>
      <c r="P55" s="337"/>
      <c r="Q55" s="337"/>
      <c r="R55" s="47"/>
    </row>
    <row r="56" spans="2:18" ht="15" thickBot="1">
      <c r="B56" s="997"/>
      <c r="C56" s="998"/>
      <c r="D56" s="998"/>
      <c r="E56" s="998"/>
      <c r="F56" s="998"/>
      <c r="G56" s="998"/>
      <c r="H56" s="998"/>
      <c r="I56" s="998"/>
      <c r="J56" s="998"/>
      <c r="K56" s="998"/>
      <c r="L56" s="998"/>
      <c r="M56" s="998"/>
      <c r="N56" s="998"/>
      <c r="O56" s="998"/>
      <c r="P56" s="998"/>
      <c r="Q56" s="998"/>
      <c r="R56" s="999"/>
    </row>
  </sheetData>
  <mergeCells count="13">
    <mergeCell ref="B47:C47"/>
    <mergeCell ref="D47:E47"/>
    <mergeCell ref="F47:G47"/>
    <mergeCell ref="H47:J47"/>
    <mergeCell ref="K47:P47"/>
    <mergeCell ref="A2:P2"/>
    <mergeCell ref="B6:R6"/>
    <mergeCell ref="B8:R12"/>
    <mergeCell ref="B21:C21"/>
    <mergeCell ref="D21:E21"/>
    <mergeCell ref="F21:G21"/>
    <mergeCell ref="H21:J21"/>
    <mergeCell ref="K21:P21"/>
  </mergeCells>
  <hyperlinks>
    <hyperlink ref="H23" location="Title!A1" display="Title Page"/>
    <hyperlink ref="H24" location="Parameters!A1" display="Parameters"/>
    <hyperlink ref="H25" location="'Scale-up'!A1" display="Scale-up"/>
    <hyperlink ref="H26" location="Package_Service!A1" display="Package of Service"/>
    <hyperlink ref="H27" location="Coverage!A1" display="Coverge"/>
    <hyperlink ref="H29" location="Staff_Costs!A1" display="Staff Costs"/>
    <hyperlink ref="H30" location="Training!A1" display="Training"/>
    <hyperlink ref="H31" location="Equipment!A1" display="Equipment"/>
    <hyperlink ref="H32" location="AP_Costs!A1" display="Assistive Products Costs"/>
    <hyperlink ref="H33" location="Other_Recurrent_Costs!A1" display="Other Recurrent Costs"/>
    <hyperlink ref="H34" location="Start_Up_Capital_Costs!A1" display="Capital Costs"/>
    <hyperlink ref="H35" location="Financing!A1" display="Financing"/>
    <hyperlink ref="H28" location="Treatment_Guidelines!A1" display="Treatment Guidelines"/>
    <hyperlink ref="H37" location="Summary_Tables!A1" display="Summary Tables"/>
    <hyperlink ref="H38" location="Graphs!A1" display="Graphs"/>
    <hyperlink ref="H39" location="AT_Quantification!A1" display="Assistive Products Quantification"/>
    <hyperlink ref="H49" location="Summary_TG!A1" display="Summary_STG"/>
    <hyperlink ref="H50" location="Demography!A1" display="Demography "/>
    <hyperlink ref="H51" location="Summary_Services!A1" display="Summary Services"/>
    <hyperlink ref="H52" location="Summary_HCW!A1" display="Summary HCW"/>
    <hyperlink ref="H53" location="Quantification!A1" display="Quantification"/>
    <hyperlink ref="H54" location="Cost_by_Input!A1" display="Cost by Input"/>
    <hyperlink ref="H55" location="Cost_per_Service!A1" display="Cost per Service"/>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1"/>
  </sheetPr>
  <dimension ref="A1:H17"/>
  <sheetViews>
    <sheetView zoomScale="90" zoomScaleNormal="90" workbookViewId="0">
      <selection activeCell="D32" sqref="D32"/>
    </sheetView>
  </sheetViews>
  <sheetFormatPr baseColWidth="10" defaultColWidth="8.77734375" defaultRowHeight="14.4"/>
  <cols>
    <col min="1" max="1" width="23.44140625" style="3" customWidth="1"/>
    <col min="2" max="2" width="22.77734375" style="3" customWidth="1"/>
    <col min="3" max="3" width="30.77734375" style="3" customWidth="1"/>
    <col min="4" max="4" width="19.21875" style="3" bestFit="1" customWidth="1"/>
    <col min="5" max="5" width="19.6640625" style="3" customWidth="1"/>
    <col min="6" max="6" width="15.109375" style="3" customWidth="1"/>
    <col min="7" max="7" width="26.21875" style="3" bestFit="1" customWidth="1"/>
    <col min="8" max="8" width="27.88671875" style="3" bestFit="1" customWidth="1"/>
    <col min="9" max="16384" width="8.77734375" style="3"/>
  </cols>
  <sheetData>
    <row r="1" spans="1:8">
      <c r="A1" s="4" t="s">
        <v>1359</v>
      </c>
      <c r="B1" s="4" t="s">
        <v>1088</v>
      </c>
      <c r="C1" s="4" t="s">
        <v>1142</v>
      </c>
      <c r="D1" s="4" t="s">
        <v>15</v>
      </c>
      <c r="E1" s="4" t="s">
        <v>9</v>
      </c>
      <c r="F1" s="4" t="s">
        <v>1135</v>
      </c>
      <c r="G1" s="4" t="s">
        <v>14</v>
      </c>
      <c r="H1" s="4" t="s">
        <v>1342</v>
      </c>
    </row>
    <row r="2" spans="1:8">
      <c r="A2" s="3" t="s">
        <v>1353</v>
      </c>
      <c r="B2" s="3">
        <f>national_currency</f>
        <v>0</v>
      </c>
      <c r="C2" s="3">
        <f>_rt1</f>
        <v>0</v>
      </c>
      <c r="D2" s="3">
        <f>level1</f>
        <v>0</v>
      </c>
      <c r="E2" s="2" t="s">
        <v>10</v>
      </c>
      <c r="F2" s="3" t="s">
        <v>1089</v>
      </c>
      <c r="G2" s="3" t="s">
        <v>16</v>
      </c>
      <c r="H2" s="3" t="s">
        <v>1343</v>
      </c>
    </row>
    <row r="3" spans="1:8">
      <c r="A3" s="3" t="s">
        <v>1354</v>
      </c>
      <c r="B3" s="3" t="s">
        <v>244</v>
      </c>
      <c r="C3" s="3" t="s">
        <v>842</v>
      </c>
      <c r="D3" s="3" t="str">
        <f>IF(level2="","",level2)</f>
        <v/>
      </c>
      <c r="E3" s="2" t="s">
        <v>11</v>
      </c>
      <c r="F3" s="5" t="s">
        <v>1090</v>
      </c>
      <c r="G3" s="3" t="s">
        <v>735</v>
      </c>
      <c r="H3" s="3" t="s">
        <v>1467</v>
      </c>
    </row>
    <row r="4" spans="1:8">
      <c r="A4" s="3" t="s">
        <v>1355</v>
      </c>
      <c r="E4" s="2" t="s">
        <v>12</v>
      </c>
      <c r="F4" s="3" t="s">
        <v>1330</v>
      </c>
      <c r="G4" s="3" t="s">
        <v>1136</v>
      </c>
      <c r="H4" s="3" t="s">
        <v>1475</v>
      </c>
    </row>
    <row r="5" spans="1:8">
      <c r="A5" s="3" t="s">
        <v>1356</v>
      </c>
      <c r="E5" s="5" t="s">
        <v>13</v>
      </c>
      <c r="F5" s="3" t="s">
        <v>1406</v>
      </c>
      <c r="G5" s="3" t="s">
        <v>736</v>
      </c>
      <c r="H5" s="3" t="s">
        <v>1495</v>
      </c>
    </row>
    <row r="6" spans="1:8">
      <c r="A6" s="3" t="s">
        <v>1357</v>
      </c>
      <c r="E6" s="5" t="s">
        <v>1144</v>
      </c>
      <c r="F6" s="3" t="s">
        <v>1407</v>
      </c>
      <c r="G6" s="3" t="s">
        <v>1137</v>
      </c>
      <c r="H6" s="3" t="s">
        <v>1339</v>
      </c>
    </row>
    <row r="7" spans="1:8">
      <c r="A7" s="3" t="s">
        <v>1358</v>
      </c>
      <c r="E7" s="5" t="s">
        <v>1145</v>
      </c>
      <c r="G7" s="3" t="s">
        <v>1138</v>
      </c>
      <c r="H7" s="3" t="s">
        <v>1340</v>
      </c>
    </row>
    <row r="8" spans="1:8">
      <c r="E8" s="5"/>
      <c r="G8" s="3" t="s">
        <v>1139</v>
      </c>
      <c r="H8" s="3" t="s">
        <v>1341</v>
      </c>
    </row>
    <row r="9" spans="1:8">
      <c r="E9" s="5"/>
      <c r="G9" s="3" t="s">
        <v>1140</v>
      </c>
      <c r="H9" s="3">
        <v>0</v>
      </c>
    </row>
    <row r="10" spans="1:8">
      <c r="G10" s="3" t="s">
        <v>1141</v>
      </c>
      <c r="H10" s="3">
        <v>0</v>
      </c>
    </row>
    <row r="11" spans="1:8">
      <c r="H11" s="3">
        <v>0</v>
      </c>
    </row>
    <row r="12" spans="1:8">
      <c r="E12" s="2"/>
      <c r="H12" s="3">
        <v>0</v>
      </c>
    </row>
    <row r="13" spans="1:8">
      <c r="E13" s="2"/>
      <c r="H13" s="3">
        <v>0</v>
      </c>
    </row>
    <row r="14" spans="1:8">
      <c r="H14" s="3">
        <v>0</v>
      </c>
    </row>
    <row r="15" spans="1:8">
      <c r="E15" s="5"/>
      <c r="H15" s="3">
        <v>0</v>
      </c>
    </row>
    <row r="16" spans="1:8">
      <c r="E16" s="5"/>
      <c r="H16" s="3">
        <v>0</v>
      </c>
    </row>
    <row r="17" spans="5:5">
      <c r="E17" s="5"/>
    </row>
  </sheetData>
  <phoneticPr fontId="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3"/>
  <sheetViews>
    <sheetView showGridLines="0" workbookViewId="0">
      <selection activeCell="C3" sqref="C3"/>
    </sheetView>
  </sheetViews>
  <sheetFormatPr baseColWidth="10" defaultColWidth="8.88671875" defaultRowHeight="14.4"/>
  <sheetData>
    <row r="3" spans="2:2">
      <c r="B3" s="232" t="s">
        <v>1541</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1">
    <tabColor theme="0" tint="-0.249977111117893"/>
  </sheetPr>
  <dimension ref="A1:AM191"/>
  <sheetViews>
    <sheetView showGridLines="0" topLeftCell="C1" zoomScale="80" zoomScaleNormal="80" workbookViewId="0">
      <selection activeCell="J8" sqref="J8"/>
    </sheetView>
  </sheetViews>
  <sheetFormatPr baseColWidth="10" defaultColWidth="8.77734375" defaultRowHeight="13.8"/>
  <cols>
    <col min="1" max="2" width="15.6640625" style="218" customWidth="1"/>
    <col min="3" max="3" width="34.77734375" style="218" bestFit="1" customWidth="1"/>
    <col min="4" max="4" width="28.6640625" style="221" bestFit="1" customWidth="1"/>
    <col min="5" max="8" width="15.6640625" style="221" customWidth="1"/>
    <col min="9" max="39" width="15.6640625" style="218" customWidth="1"/>
    <col min="40" max="16384" width="8.77734375" style="218"/>
  </cols>
  <sheetData>
    <row r="1" spans="1:39" s="421" customFormat="1" ht="18">
      <c r="A1" s="419" t="s">
        <v>1182</v>
      </c>
      <c r="B1" s="420"/>
      <c r="C1" s="420"/>
      <c r="D1" s="419"/>
      <c r="E1" s="420"/>
      <c r="F1" s="420"/>
      <c r="G1" s="420"/>
      <c r="H1" s="420"/>
      <c r="I1" s="419"/>
      <c r="J1" s="420"/>
      <c r="K1" s="420"/>
      <c r="L1" s="419"/>
      <c r="M1" s="420"/>
      <c r="N1" s="419"/>
      <c r="O1" s="420"/>
      <c r="P1" s="420"/>
      <c r="Q1" s="419"/>
      <c r="R1" s="420"/>
      <c r="S1" s="420"/>
      <c r="T1" s="419"/>
      <c r="U1" s="420"/>
      <c r="V1" s="420"/>
      <c r="W1" s="419"/>
      <c r="X1" s="420"/>
      <c r="Y1" s="420"/>
      <c r="Z1" s="419"/>
      <c r="AA1" s="420"/>
      <c r="AB1" s="419"/>
      <c r="AC1" s="420"/>
      <c r="AD1" s="420"/>
      <c r="AE1" s="419"/>
      <c r="AF1" s="420"/>
      <c r="AG1" s="420"/>
      <c r="AH1" s="419"/>
      <c r="AI1" s="420"/>
      <c r="AJ1" s="420"/>
      <c r="AK1" s="419"/>
      <c r="AL1" s="420"/>
      <c r="AM1" s="420"/>
    </row>
    <row r="2" spans="1:39">
      <c r="A2" s="244" t="s">
        <v>1143</v>
      </c>
      <c r="B2" s="240"/>
      <c r="C2" s="241"/>
      <c r="D2" s="242"/>
      <c r="E2" s="242"/>
      <c r="F2" s="242"/>
      <c r="G2" s="242"/>
      <c r="H2" s="242"/>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row>
    <row r="3" spans="1:39">
      <c r="I3" s="222" t="s">
        <v>18</v>
      </c>
      <c r="Y3" s="222" t="s">
        <v>19</v>
      </c>
    </row>
    <row r="4" spans="1:39">
      <c r="D4" s="223"/>
      <c r="E4" s="223"/>
      <c r="F4" s="225" t="s">
        <v>20</v>
      </c>
      <c r="G4" s="225" t="s">
        <v>20</v>
      </c>
      <c r="H4" s="225"/>
      <c r="I4" s="225" t="s">
        <v>20</v>
      </c>
      <c r="J4" s="225" t="s">
        <v>20</v>
      </c>
      <c r="K4" s="225" t="s">
        <v>20</v>
      </c>
      <c r="L4" s="225" t="s">
        <v>20</v>
      </c>
      <c r="M4" s="225" t="s">
        <v>20</v>
      </c>
      <c r="N4" s="225" t="s">
        <v>20</v>
      </c>
      <c r="O4" s="225" t="s">
        <v>20</v>
      </c>
      <c r="P4" s="225" t="s">
        <v>20</v>
      </c>
      <c r="Q4" s="225" t="s">
        <v>20</v>
      </c>
      <c r="R4" s="225" t="s">
        <v>20</v>
      </c>
      <c r="S4" s="225" t="s">
        <v>20</v>
      </c>
      <c r="T4" s="225" t="s">
        <v>20</v>
      </c>
      <c r="U4" s="225" t="s">
        <v>20</v>
      </c>
      <c r="V4" s="225" t="s">
        <v>20</v>
      </c>
      <c r="W4" s="225" t="s">
        <v>20</v>
      </c>
      <c r="X4" s="225" t="s">
        <v>20</v>
      </c>
      <c r="Y4" s="225" t="s">
        <v>20</v>
      </c>
      <c r="Z4" s="225" t="s">
        <v>20</v>
      </c>
      <c r="AA4" s="225" t="s">
        <v>20</v>
      </c>
      <c r="AB4" s="225" t="s">
        <v>20</v>
      </c>
      <c r="AC4" s="225" t="s">
        <v>20</v>
      </c>
      <c r="AD4" s="225" t="s">
        <v>20</v>
      </c>
      <c r="AE4" s="225" t="s">
        <v>20</v>
      </c>
      <c r="AF4" s="225" t="s">
        <v>20</v>
      </c>
      <c r="AG4" s="225" t="s">
        <v>20</v>
      </c>
      <c r="AH4" s="225" t="s">
        <v>20</v>
      </c>
      <c r="AI4" s="225" t="s">
        <v>20</v>
      </c>
      <c r="AJ4" s="225" t="s">
        <v>20</v>
      </c>
      <c r="AK4" s="225" t="s">
        <v>20</v>
      </c>
      <c r="AL4" s="225" t="s">
        <v>20</v>
      </c>
      <c r="AM4" s="225" t="s">
        <v>20</v>
      </c>
    </row>
    <row r="5" spans="1:39">
      <c r="D5" s="223"/>
      <c r="E5" s="223"/>
      <c r="F5" s="223"/>
      <c r="G5" s="223"/>
      <c r="H5" s="223"/>
      <c r="I5" s="224"/>
      <c r="J5" s="224"/>
      <c r="N5" s="224"/>
      <c r="O5" s="224"/>
      <c r="P5" s="224"/>
      <c r="Q5" s="224"/>
      <c r="R5" s="224"/>
      <c r="T5" s="224"/>
      <c r="W5" s="224"/>
      <c r="Y5" s="224"/>
      <c r="Z5" s="224"/>
      <c r="AC5" s="224"/>
      <c r="AD5" s="224"/>
      <c r="AE5" s="224"/>
      <c r="AF5" s="224"/>
      <c r="AG5" s="224"/>
      <c r="AH5" s="224"/>
      <c r="AJ5" s="224"/>
      <c r="AL5" s="224"/>
    </row>
    <row r="6" spans="1:39" s="301" customFormat="1" ht="43.2">
      <c r="A6" s="296" t="s">
        <v>21</v>
      </c>
      <c r="B6" s="297" t="s">
        <v>22</v>
      </c>
      <c r="C6" s="297" t="s">
        <v>23</v>
      </c>
      <c r="D6" s="298" t="s">
        <v>24</v>
      </c>
      <c r="E6" s="298" t="s">
        <v>25</v>
      </c>
      <c r="F6" s="298" t="s">
        <v>26</v>
      </c>
      <c r="G6" s="298" t="s">
        <v>27</v>
      </c>
      <c r="H6" s="298" t="s">
        <v>1384</v>
      </c>
      <c r="I6" s="299" t="s">
        <v>28</v>
      </c>
      <c r="J6" s="299" t="s">
        <v>29</v>
      </c>
      <c r="K6" s="299" t="s">
        <v>30</v>
      </c>
      <c r="L6" s="299" t="s">
        <v>31</v>
      </c>
      <c r="M6" s="299" t="s">
        <v>32</v>
      </c>
      <c r="N6" s="299" t="s">
        <v>33</v>
      </c>
      <c r="O6" s="299" t="s">
        <v>34</v>
      </c>
      <c r="P6" s="299" t="s">
        <v>35</v>
      </c>
      <c r="Q6" s="299" t="s">
        <v>36</v>
      </c>
      <c r="R6" s="299" t="s">
        <v>37</v>
      </c>
      <c r="S6" s="299" t="s">
        <v>38</v>
      </c>
      <c r="T6" s="299" t="s">
        <v>39</v>
      </c>
      <c r="U6" s="299" t="s">
        <v>40</v>
      </c>
      <c r="V6" s="299" t="s">
        <v>41</v>
      </c>
      <c r="W6" s="299" t="s">
        <v>42</v>
      </c>
      <c r="X6" s="299" t="s">
        <v>43</v>
      </c>
      <c r="Y6" s="299" t="s">
        <v>44</v>
      </c>
      <c r="Z6" s="299" t="s">
        <v>45</v>
      </c>
      <c r="AA6" s="299" t="s">
        <v>30</v>
      </c>
      <c r="AB6" s="299" t="s">
        <v>31</v>
      </c>
      <c r="AC6" s="299" t="s">
        <v>46</v>
      </c>
      <c r="AD6" s="299" t="s">
        <v>47</v>
      </c>
      <c r="AE6" s="299" t="s">
        <v>48</v>
      </c>
      <c r="AF6" s="299" t="s">
        <v>49</v>
      </c>
      <c r="AG6" s="299" t="s">
        <v>50</v>
      </c>
      <c r="AH6" s="299" t="s">
        <v>51</v>
      </c>
      <c r="AI6" s="299" t="s">
        <v>38</v>
      </c>
      <c r="AJ6" s="299" t="s">
        <v>52</v>
      </c>
      <c r="AK6" s="299" t="s">
        <v>40</v>
      </c>
      <c r="AL6" s="299" t="s">
        <v>53</v>
      </c>
      <c r="AM6" s="300" t="s">
        <v>54</v>
      </c>
    </row>
    <row r="7" spans="1:39">
      <c r="A7" s="233" t="s">
        <v>55</v>
      </c>
      <c r="B7" s="234">
        <v>4</v>
      </c>
      <c r="C7" s="233" t="s">
        <v>56</v>
      </c>
      <c r="D7" s="233" t="s">
        <v>57</v>
      </c>
      <c r="E7" s="233" t="s">
        <v>58</v>
      </c>
      <c r="F7" s="235">
        <v>19976.264999999999</v>
      </c>
      <c r="G7" s="235">
        <v>18952.075999999997</v>
      </c>
      <c r="H7" s="235">
        <f>SUM(F7:G7)</f>
        <v>38928.341</v>
      </c>
      <c r="I7" s="233">
        <v>5.9867039504214503</v>
      </c>
      <c r="J7" s="233">
        <v>15.1337832121039</v>
      </c>
      <c r="K7" s="233">
        <v>43.799461347356498</v>
      </c>
      <c r="L7" s="233">
        <v>65.011389255467904</v>
      </c>
      <c r="M7" s="233">
        <v>17.833288342276699</v>
      </c>
      <c r="N7" s="233">
        <v>28.665678135252701</v>
      </c>
      <c r="O7" s="233">
        <v>56.200538652643402</v>
      </c>
      <c r="P7" s="233">
        <v>21.211927908111399</v>
      </c>
      <c r="Q7" s="233">
        <v>47.9865448919332</v>
      </c>
      <c r="R7" s="233">
        <v>52.499668528787701</v>
      </c>
      <c r="S7" s="233">
        <v>53.978745541235199</v>
      </c>
      <c r="T7" s="233">
        <v>26.774616983821801</v>
      </c>
      <c r="U7" s="233">
        <v>32.7668176331238</v>
      </c>
      <c r="V7" s="233">
        <v>33.8095807580723</v>
      </c>
      <c r="W7" s="233">
        <v>8.2139937607102205</v>
      </c>
      <c r="X7" s="233">
        <v>2.2217931114081901</v>
      </c>
      <c r="Y7" s="233">
        <v>6.0278966521503596</v>
      </c>
      <c r="Z7" s="233">
        <v>15.309945661923701</v>
      </c>
      <c r="AA7" s="233">
        <v>44.300151756589202</v>
      </c>
      <c r="AB7" s="233">
        <v>65.418351387411704</v>
      </c>
      <c r="AC7" s="233">
        <v>18.091021959316802</v>
      </c>
      <c r="AD7" s="233">
        <v>28.990206094665499</v>
      </c>
      <c r="AE7" s="233">
        <v>55.699848243410798</v>
      </c>
      <c r="AF7" s="233">
        <v>21.118199630822598</v>
      </c>
      <c r="AG7" s="233">
        <v>46.868536490330897</v>
      </c>
      <c r="AH7" s="233">
        <v>51.390255660274498</v>
      </c>
      <c r="AI7" s="233">
        <v>52.967436131272201</v>
      </c>
      <c r="AJ7" s="233">
        <v>25.750336859508302</v>
      </c>
      <c r="AK7" s="233">
        <v>31.849236500449599</v>
      </c>
      <c r="AL7" s="233">
        <v>8.8313117530799801</v>
      </c>
      <c r="AM7" s="233">
        <v>2.7324121121386402</v>
      </c>
    </row>
    <row r="8" spans="1:39">
      <c r="A8" s="236" t="s">
        <v>59</v>
      </c>
      <c r="B8" s="237">
        <v>8</v>
      </c>
      <c r="C8" s="236" t="s">
        <v>60</v>
      </c>
      <c r="D8" s="236" t="s">
        <v>61</v>
      </c>
      <c r="E8" s="236" t="s">
        <v>62</v>
      </c>
      <c r="F8" s="238">
        <v>1464.7140000000002</v>
      </c>
      <c r="G8" s="238">
        <v>1413.0860000000002</v>
      </c>
      <c r="H8" s="238">
        <f t="shared" ref="H8:H71" si="0">SUM(F8:G8)</f>
        <v>2877.8</v>
      </c>
      <c r="I8" s="236">
        <v>3.0516696593866999</v>
      </c>
      <c r="J8" s="236">
        <v>6.6946451190824199</v>
      </c>
      <c r="K8" s="236">
        <v>19.4111997327431</v>
      </c>
      <c r="L8" s="236">
        <v>38.394370902409499</v>
      </c>
      <c r="M8" s="236">
        <v>6.8703804234350798</v>
      </c>
      <c r="N8" s="236">
        <v>12.7165546136607</v>
      </c>
      <c r="O8" s="236">
        <v>80.588800267256801</v>
      </c>
      <c r="P8" s="236">
        <v>18.983171169666299</v>
      </c>
      <c r="Q8" s="236">
        <v>49.876463300900603</v>
      </c>
      <c r="R8" s="236">
        <v>63.4184518589663</v>
      </c>
      <c r="S8" s="236">
        <v>68.781266964546703</v>
      </c>
      <c r="T8" s="236">
        <v>30.893292131234201</v>
      </c>
      <c r="U8" s="236">
        <v>49.798095794880297</v>
      </c>
      <c r="V8" s="236">
        <v>53.896103896103902</v>
      </c>
      <c r="W8" s="236">
        <v>30.7123369663563</v>
      </c>
      <c r="X8" s="236">
        <v>11.8075333027101</v>
      </c>
      <c r="Y8" s="236">
        <v>2.7821179990670299</v>
      </c>
      <c r="Z8" s="236">
        <v>6.1175771084741699</v>
      </c>
      <c r="AA8" s="236">
        <v>17.6948595720546</v>
      </c>
      <c r="AB8" s="236">
        <v>35.314848899791002</v>
      </c>
      <c r="AC8" s="236">
        <v>6.2500556560599296</v>
      </c>
      <c r="AD8" s="236">
        <v>11.577282463580399</v>
      </c>
      <c r="AE8" s="236">
        <v>82.305140427945403</v>
      </c>
      <c r="AF8" s="236">
        <v>17.619989327736398</v>
      </c>
      <c r="AG8" s="236">
        <v>50.128950809632997</v>
      </c>
      <c r="AH8" s="236">
        <v>63.948436116090697</v>
      </c>
      <c r="AI8" s="236">
        <v>69.329298240446505</v>
      </c>
      <c r="AJ8" s="236">
        <v>32.508961481896499</v>
      </c>
      <c r="AK8" s="236">
        <v>51.7093089127101</v>
      </c>
      <c r="AL8" s="236">
        <v>32.176189618312399</v>
      </c>
      <c r="AM8" s="236">
        <v>12.9758421874989</v>
      </c>
    </row>
    <row r="9" spans="1:39">
      <c r="A9" s="233" t="s">
        <v>63</v>
      </c>
      <c r="B9" s="234">
        <v>12</v>
      </c>
      <c r="C9" s="233" t="s">
        <v>64</v>
      </c>
      <c r="D9" s="233" t="s">
        <v>65</v>
      </c>
      <c r="E9" s="233" t="s">
        <v>66</v>
      </c>
      <c r="F9" s="235">
        <v>22153.808000000001</v>
      </c>
      <c r="G9" s="235">
        <v>21697.235000000004</v>
      </c>
      <c r="H9" s="235">
        <f t="shared" si="0"/>
        <v>43851.043000000005</v>
      </c>
      <c r="I9" s="233">
        <v>4.7757386107069797</v>
      </c>
      <c r="J9" s="233">
        <v>11.692931676568</v>
      </c>
      <c r="K9" s="233">
        <v>28.816425057837598</v>
      </c>
      <c r="L9" s="233">
        <v>45.604517456103501</v>
      </c>
      <c r="M9" s="233">
        <v>11.327697453061001</v>
      </c>
      <c r="N9" s="233">
        <v>17.123493381269601</v>
      </c>
      <c r="O9" s="233">
        <v>71.183574942162394</v>
      </c>
      <c r="P9" s="233">
        <v>16.7880923982658</v>
      </c>
      <c r="Q9" s="233">
        <v>54.281335575152198</v>
      </c>
      <c r="R9" s="233">
        <v>62.414451153555298</v>
      </c>
      <c r="S9" s="233">
        <v>65.533162197225707</v>
      </c>
      <c r="T9" s="233">
        <v>37.493243176886402</v>
      </c>
      <c r="U9" s="233">
        <v>48.745069798959797</v>
      </c>
      <c r="V9" s="233">
        <v>50.745820991337403</v>
      </c>
      <c r="W9" s="233">
        <v>16.9022393670102</v>
      </c>
      <c r="X9" s="233">
        <v>5.6504127449367196</v>
      </c>
      <c r="Y9" s="233">
        <v>4.66845587390275</v>
      </c>
      <c r="Z9" s="233">
        <v>11.4475302166558</v>
      </c>
      <c r="AA9" s="233">
        <v>28.2574915970768</v>
      </c>
      <c r="AB9" s="233">
        <v>44.720148217190001</v>
      </c>
      <c r="AC9" s="233">
        <v>11.126568864902</v>
      </c>
      <c r="AD9" s="233">
        <v>16.809961380421001</v>
      </c>
      <c r="AE9" s="233">
        <v>71.742508402923306</v>
      </c>
      <c r="AF9" s="233">
        <v>16.4626566201133</v>
      </c>
      <c r="AG9" s="233">
        <v>54.345376191434198</v>
      </c>
      <c r="AH9" s="233">
        <v>62.493901871310499</v>
      </c>
      <c r="AI9" s="233">
        <v>65.513215719891207</v>
      </c>
      <c r="AJ9" s="233">
        <v>37.882719571320898</v>
      </c>
      <c r="AK9" s="233">
        <v>49.0505590997779</v>
      </c>
      <c r="AL9" s="233">
        <v>17.397132211489101</v>
      </c>
      <c r="AM9" s="233">
        <v>6.2292926830320203</v>
      </c>
    </row>
    <row r="10" spans="1:39">
      <c r="A10" s="233" t="s">
        <v>69</v>
      </c>
      <c r="B10" s="234">
        <v>24</v>
      </c>
      <c r="C10" s="233" t="s">
        <v>70</v>
      </c>
      <c r="D10" s="233" t="s">
        <v>71</v>
      </c>
      <c r="E10" s="233" t="s">
        <v>72</v>
      </c>
      <c r="F10" s="235">
        <v>16260.87</v>
      </c>
      <c r="G10" s="235">
        <v>16605.39799999999</v>
      </c>
      <c r="H10" s="235">
        <f t="shared" si="0"/>
        <v>32866.267999999989</v>
      </c>
      <c r="I10" s="233">
        <v>8.0752858847543596</v>
      </c>
      <c r="J10" s="233">
        <v>19.114894486167699</v>
      </c>
      <c r="K10" s="233">
        <v>48.208871125704199</v>
      </c>
      <c r="L10" s="233">
        <v>67.748122773874599</v>
      </c>
      <c r="M10" s="233">
        <v>18.738539159188299</v>
      </c>
      <c r="N10" s="233">
        <v>29.0939766395365</v>
      </c>
      <c r="O10" s="233">
        <v>51.791128874295701</v>
      </c>
      <c r="P10" s="233">
        <v>19.539251648170399</v>
      </c>
      <c r="Q10" s="233">
        <v>44.063904617454398</v>
      </c>
      <c r="R10" s="233">
        <v>48.288718473425703</v>
      </c>
      <c r="S10" s="233">
        <v>49.709806356087299</v>
      </c>
      <c r="T10" s="233">
        <v>24.524652969283999</v>
      </c>
      <c r="U10" s="233">
        <v>30.170554707916899</v>
      </c>
      <c r="V10" s="233">
        <v>31.080431101580899</v>
      </c>
      <c r="W10" s="233">
        <v>7.7272242568413896</v>
      </c>
      <c r="X10" s="233">
        <v>2.0813225182084798</v>
      </c>
      <c r="Y10" s="233">
        <v>7.83660228298411</v>
      </c>
      <c r="Z10" s="233">
        <v>18.599004805889901</v>
      </c>
      <c r="AA10" s="233">
        <v>47.1004099547335</v>
      </c>
      <c r="AB10" s="233">
        <v>66.516666716908205</v>
      </c>
      <c r="AC10" s="233">
        <v>18.343153959032399</v>
      </c>
      <c r="AD10" s="233">
        <v>28.501405148843599</v>
      </c>
      <c r="AE10" s="233">
        <v>52.8995900452665</v>
      </c>
      <c r="AF10" s="233">
        <v>19.416256762174701</v>
      </c>
      <c r="AG10" s="233">
        <v>44.184827248321398</v>
      </c>
      <c r="AH10" s="233">
        <v>48.7404986061158</v>
      </c>
      <c r="AI10" s="233">
        <v>50.357462948351802</v>
      </c>
      <c r="AJ10" s="233">
        <v>24.7685704861468</v>
      </c>
      <c r="AK10" s="233">
        <v>30.941206186177102</v>
      </c>
      <c r="AL10" s="233">
        <v>8.7147627969450792</v>
      </c>
      <c r="AM10" s="233">
        <v>2.5421270969147298</v>
      </c>
    </row>
    <row r="11" spans="1:39">
      <c r="A11" s="236" t="s">
        <v>73</v>
      </c>
      <c r="B11" s="237">
        <v>28</v>
      </c>
      <c r="C11" s="236" t="s">
        <v>74</v>
      </c>
      <c r="D11" s="236" t="s">
        <v>75</v>
      </c>
      <c r="E11" s="236" t="s">
        <v>76</v>
      </c>
      <c r="F11" s="238">
        <v>47.269000000000005</v>
      </c>
      <c r="G11" s="238">
        <v>50.659000000000006</v>
      </c>
      <c r="H11" s="238">
        <f t="shared" si="0"/>
        <v>97.928000000000011</v>
      </c>
      <c r="I11" s="236">
        <v>3.3721433616623799</v>
      </c>
      <c r="J11" s="236">
        <v>8.3369409191369108</v>
      </c>
      <c r="K11" s="236">
        <v>25.350315568821301</v>
      </c>
      <c r="L11" s="236">
        <v>42.956093782041101</v>
      </c>
      <c r="M11" s="236">
        <v>10.0252910752125</v>
      </c>
      <c r="N11" s="236">
        <v>17.013374649684401</v>
      </c>
      <c r="O11" s="236">
        <v>74.649684431178699</v>
      </c>
      <c r="P11" s="236">
        <v>17.6057782132197</v>
      </c>
      <c r="Q11" s="236">
        <v>53.334548520130298</v>
      </c>
      <c r="R11" s="236">
        <v>64.615279454988695</v>
      </c>
      <c r="S11" s="236">
        <v>68.297295449884899</v>
      </c>
      <c r="T11" s="236">
        <v>35.728770306910597</v>
      </c>
      <c r="U11" s="236">
        <v>50.691517236665199</v>
      </c>
      <c r="V11" s="236">
        <v>52.828727015881</v>
      </c>
      <c r="W11" s="236">
        <v>21.315135911048301</v>
      </c>
      <c r="X11" s="236">
        <v>6.3523889812937204</v>
      </c>
      <c r="Y11" s="236">
        <v>3.048258882931</v>
      </c>
      <c r="Z11" s="236">
        <v>7.5549249932191396</v>
      </c>
      <c r="AA11" s="236">
        <v>23.105009493208701</v>
      </c>
      <c r="AB11" s="236">
        <v>39.721254355400703</v>
      </c>
      <c r="AC11" s="236">
        <v>9.1656408437480401</v>
      </c>
      <c r="AD11" s="236">
        <v>15.5500844999896</v>
      </c>
      <c r="AE11" s="236">
        <v>76.894990506791302</v>
      </c>
      <c r="AF11" s="236">
        <v>16.616244862192001</v>
      </c>
      <c r="AG11" s="236">
        <v>53.927684700285802</v>
      </c>
      <c r="AH11" s="236">
        <v>65.486448705376702</v>
      </c>
      <c r="AI11" s="236">
        <v>68.987460618832003</v>
      </c>
      <c r="AJ11" s="236">
        <v>37.311439838093797</v>
      </c>
      <c r="AK11" s="236">
        <v>52.371215756639998</v>
      </c>
      <c r="AL11" s="236">
        <v>22.9673058065055</v>
      </c>
      <c r="AM11" s="236">
        <v>7.9075298879592699</v>
      </c>
    </row>
    <row r="12" spans="1:39">
      <c r="A12" s="233" t="s">
        <v>77</v>
      </c>
      <c r="B12" s="234">
        <v>32</v>
      </c>
      <c r="C12" s="233" t="s">
        <v>78</v>
      </c>
      <c r="D12" s="233" t="s">
        <v>79</v>
      </c>
      <c r="E12" s="233" t="s">
        <v>80</v>
      </c>
      <c r="F12" s="235">
        <v>22049.146000000001</v>
      </c>
      <c r="G12" s="235">
        <v>23146.630999999998</v>
      </c>
      <c r="H12" s="235">
        <f t="shared" si="0"/>
        <v>45195.777000000002</v>
      </c>
      <c r="I12" s="233">
        <v>3.5998904573949799</v>
      </c>
      <c r="J12" s="233">
        <v>8.9044270896339306</v>
      </c>
      <c r="K12" s="233">
        <v>26.187041832829699</v>
      </c>
      <c r="L12" s="233">
        <v>42.6644628858527</v>
      </c>
      <c r="M12" s="233">
        <v>10.439882847027</v>
      </c>
      <c r="N12" s="233">
        <v>17.282614743195701</v>
      </c>
      <c r="O12" s="233">
        <v>73.812958167170393</v>
      </c>
      <c r="P12" s="233">
        <v>16.477421053023001</v>
      </c>
      <c r="Q12" s="233">
        <v>51.264847113412102</v>
      </c>
      <c r="R12" s="233">
        <v>60.855558246945499</v>
      </c>
      <c r="S12" s="233">
        <v>64.843536049599606</v>
      </c>
      <c r="T12" s="233">
        <v>34.787426060389102</v>
      </c>
      <c r="U12" s="233">
        <v>48.366114996576599</v>
      </c>
      <c r="V12" s="233">
        <v>51.606320484043501</v>
      </c>
      <c r="W12" s="233">
        <v>22.548111053758301</v>
      </c>
      <c r="X12" s="233">
        <v>8.9694221175707707</v>
      </c>
      <c r="Y12" s="233">
        <v>3.3293082963494598</v>
      </c>
      <c r="Z12" s="233">
        <v>8.2374915845636796</v>
      </c>
      <c r="AA12" s="233">
        <v>24.242879087471099</v>
      </c>
      <c r="AB12" s="233">
        <v>39.551344207954003</v>
      </c>
      <c r="AC12" s="233">
        <v>9.6658527742108493</v>
      </c>
      <c r="AD12" s="233">
        <v>16.0053875029074</v>
      </c>
      <c r="AE12" s="233">
        <v>75.757120912528904</v>
      </c>
      <c r="AF12" s="233">
        <v>15.308465120483</v>
      </c>
      <c r="AG12" s="233">
        <v>48.729172711250499</v>
      </c>
      <c r="AH12" s="233">
        <v>58.588602507850702</v>
      </c>
      <c r="AI12" s="233">
        <v>62.955293314516197</v>
      </c>
      <c r="AJ12" s="233">
        <v>33.420707590767499</v>
      </c>
      <c r="AK12" s="233">
        <v>47.646828194033297</v>
      </c>
      <c r="AL12" s="233">
        <v>27.027948201278399</v>
      </c>
      <c r="AM12" s="233">
        <v>12.8018275980127</v>
      </c>
    </row>
    <row r="13" spans="1:39">
      <c r="A13" s="236" t="s">
        <v>81</v>
      </c>
      <c r="B13" s="237">
        <v>51</v>
      </c>
      <c r="C13" s="236" t="s">
        <v>82</v>
      </c>
      <c r="D13" s="236" t="s">
        <v>83</v>
      </c>
      <c r="E13" s="236" t="s">
        <v>84</v>
      </c>
      <c r="F13" s="238">
        <v>1393.7470000000003</v>
      </c>
      <c r="G13" s="238">
        <v>1569.4870000000003</v>
      </c>
      <c r="H13" s="238">
        <f t="shared" si="0"/>
        <v>2963.2340000000004</v>
      </c>
      <c r="I13" s="236">
        <v>3.02834347139822</v>
      </c>
      <c r="J13" s="236">
        <v>7.6143738777330103</v>
      </c>
      <c r="K13" s="236">
        <v>20.528527464235701</v>
      </c>
      <c r="L13" s="236">
        <v>35.566637203994802</v>
      </c>
      <c r="M13" s="236">
        <v>8.2032224112564993</v>
      </c>
      <c r="N13" s="236">
        <v>12.9141535865027</v>
      </c>
      <c r="O13" s="236">
        <v>79.471472535764306</v>
      </c>
      <c r="P13" s="236">
        <v>15.038109739759101</v>
      </c>
      <c r="Q13" s="236">
        <v>50.777164309533802</v>
      </c>
      <c r="R13" s="236">
        <v>65.326389003016104</v>
      </c>
      <c r="S13" s="236">
        <v>70.419525105554698</v>
      </c>
      <c r="T13" s="236">
        <v>35.739054569774702</v>
      </c>
      <c r="U13" s="236">
        <v>55.381415365795597</v>
      </c>
      <c r="V13" s="236">
        <v>58.349737872728397</v>
      </c>
      <c r="W13" s="236">
        <v>28.6943082262305</v>
      </c>
      <c r="X13" s="236">
        <v>9.0519474302095499</v>
      </c>
      <c r="Y13" s="236">
        <v>2.4347408016680299</v>
      </c>
      <c r="Z13" s="236">
        <v>6.2217240009121202</v>
      </c>
      <c r="AA13" s="236">
        <v>16.529096200039401</v>
      </c>
      <c r="AB13" s="236">
        <v>30.468093889448799</v>
      </c>
      <c r="AC13" s="236">
        <v>6.63533145758778</v>
      </c>
      <c r="AD13" s="236">
        <v>10.3073721991273</v>
      </c>
      <c r="AE13" s="236">
        <v>83.470903799960595</v>
      </c>
      <c r="AF13" s="236">
        <v>13.938997689409399</v>
      </c>
      <c r="AG13" s="236">
        <v>49.720708366883997</v>
      </c>
      <c r="AH13" s="236">
        <v>65.233243583460904</v>
      </c>
      <c r="AI13" s="236">
        <v>71.110634587421501</v>
      </c>
      <c r="AJ13" s="236">
        <v>35.781710677474599</v>
      </c>
      <c r="AK13" s="236">
        <v>57.171636898012103</v>
      </c>
      <c r="AL13" s="236">
        <v>33.750195433076598</v>
      </c>
      <c r="AM13" s="236">
        <v>12.3602692125391</v>
      </c>
    </row>
    <row r="14" spans="1:39">
      <c r="A14" s="233" t="s">
        <v>85</v>
      </c>
      <c r="B14" s="234">
        <v>36</v>
      </c>
      <c r="C14" s="233" t="s">
        <v>86</v>
      </c>
      <c r="D14" s="233" t="s">
        <v>87</v>
      </c>
      <c r="E14" s="233" t="s">
        <v>88</v>
      </c>
      <c r="F14" s="235">
        <v>12698.625</v>
      </c>
      <c r="G14" s="235">
        <v>12801.255999999999</v>
      </c>
      <c r="H14" s="235">
        <f t="shared" si="0"/>
        <v>25499.881000000001</v>
      </c>
      <c r="I14" s="233">
        <v>2.5863784330826798</v>
      </c>
      <c r="J14" s="233">
        <v>6.6308225620797003</v>
      </c>
      <c r="K14" s="233">
        <v>19.213664736824299</v>
      </c>
      <c r="L14" s="233">
        <v>32.882843803009997</v>
      </c>
      <c r="M14" s="233">
        <v>7.7711510625266396</v>
      </c>
      <c r="N14" s="233">
        <v>12.5828421747446</v>
      </c>
      <c r="O14" s="233">
        <v>80.786335263175701</v>
      </c>
      <c r="P14" s="233">
        <v>13.669179066185601</v>
      </c>
      <c r="Q14" s="233">
        <v>48.6207047716942</v>
      </c>
      <c r="R14" s="233">
        <v>61.3844180016007</v>
      </c>
      <c r="S14" s="233">
        <v>66.653092222026899</v>
      </c>
      <c r="T14" s="233">
        <v>34.951525705508601</v>
      </c>
      <c r="U14" s="233">
        <v>52.9839131558413</v>
      </c>
      <c r="V14" s="233">
        <v>57.940528234329904</v>
      </c>
      <c r="W14" s="233">
        <v>32.165630491481501</v>
      </c>
      <c r="X14" s="233">
        <v>14.1332430411488</v>
      </c>
      <c r="Y14" s="233">
        <v>2.4557914349975398</v>
      </c>
      <c r="Z14" s="233">
        <v>6.2692038497668401</v>
      </c>
      <c r="AA14" s="233">
        <v>18.183249315144302</v>
      </c>
      <c r="AB14" s="233">
        <v>30.940158782120101</v>
      </c>
      <c r="AC14" s="233">
        <v>7.3469541245512602</v>
      </c>
      <c r="AD14" s="233">
        <v>11.9140454653775</v>
      </c>
      <c r="AE14" s="233">
        <v>81.816750684855705</v>
      </c>
      <c r="AF14" s="233">
        <v>12.756909466975801</v>
      </c>
      <c r="AG14" s="233">
        <v>47.577652968330497</v>
      </c>
      <c r="AH14" s="233">
        <v>60.442900289317798</v>
      </c>
      <c r="AI14" s="233">
        <v>65.861544005780701</v>
      </c>
      <c r="AJ14" s="233">
        <v>34.820743501354698</v>
      </c>
      <c r="AK14" s="233">
        <v>53.104634538804902</v>
      </c>
      <c r="AL14" s="233">
        <v>34.239097716525201</v>
      </c>
      <c r="AM14" s="233">
        <v>15.955206679074999</v>
      </c>
    </row>
    <row r="15" spans="1:39">
      <c r="A15" s="236" t="s">
        <v>89</v>
      </c>
      <c r="B15" s="237">
        <v>40</v>
      </c>
      <c r="C15" s="236" t="s">
        <v>90</v>
      </c>
      <c r="D15" s="236" t="s">
        <v>67</v>
      </c>
      <c r="E15" s="236" t="s">
        <v>68</v>
      </c>
      <c r="F15" s="238">
        <v>4439.6910000000007</v>
      </c>
      <c r="G15" s="238">
        <v>4566.7089999999998</v>
      </c>
      <c r="H15" s="238">
        <f t="shared" si="0"/>
        <v>9006.4000000000015</v>
      </c>
      <c r="I15" s="236">
        <v>1.99910826650297</v>
      </c>
      <c r="J15" s="236">
        <v>4.93954108849156</v>
      </c>
      <c r="K15" s="236">
        <v>14.792695792338099</v>
      </c>
      <c r="L15" s="236">
        <v>27.017928323405201</v>
      </c>
      <c r="M15" s="236">
        <v>5.8186683049271002</v>
      </c>
      <c r="N15" s="236">
        <v>9.8531547038465401</v>
      </c>
      <c r="O15" s="236">
        <v>85.207304207661906</v>
      </c>
      <c r="P15" s="236">
        <v>12.2252325310671</v>
      </c>
      <c r="Q15" s="236">
        <v>47.933558943655598</v>
      </c>
      <c r="R15" s="236">
        <v>63.362645517347197</v>
      </c>
      <c r="S15" s="236">
        <v>68.664694621788996</v>
      </c>
      <c r="T15" s="236">
        <v>35.708326412588598</v>
      </c>
      <c r="U15" s="236">
        <v>56.439462090721797</v>
      </c>
      <c r="V15" s="236">
        <v>61.3281729400587</v>
      </c>
      <c r="W15" s="236">
        <v>37.273745264006301</v>
      </c>
      <c r="X15" s="236">
        <v>16.542609585872999</v>
      </c>
      <c r="Y15" s="236">
        <v>1.8353757188211799</v>
      </c>
      <c r="Z15" s="236">
        <v>4.5209526098340396</v>
      </c>
      <c r="AA15" s="236">
        <v>13.64302773635</v>
      </c>
      <c r="AB15" s="236">
        <v>24.8785895063893</v>
      </c>
      <c r="AC15" s="236">
        <v>5.3571022005328599</v>
      </c>
      <c r="AD15" s="236">
        <v>9.1220751265159805</v>
      </c>
      <c r="AE15" s="236">
        <v>86.356972263649993</v>
      </c>
      <c r="AF15" s="236">
        <v>11.2355617700393</v>
      </c>
      <c r="AG15" s="236">
        <v>45.501182655610897</v>
      </c>
      <c r="AH15" s="236">
        <v>59.977600261253599</v>
      </c>
      <c r="AI15" s="236">
        <v>65.458774936670096</v>
      </c>
      <c r="AJ15" s="236">
        <v>34.2656208855716</v>
      </c>
      <c r="AK15" s="236">
        <v>54.223213166630799</v>
      </c>
      <c r="AL15" s="236">
        <v>40.855789608039103</v>
      </c>
      <c r="AM15" s="236">
        <v>20.898197326979801</v>
      </c>
    </row>
    <row r="16" spans="1:39">
      <c r="A16" s="233" t="s">
        <v>91</v>
      </c>
      <c r="B16" s="234">
        <v>31</v>
      </c>
      <c r="C16" s="233" t="s">
        <v>92</v>
      </c>
      <c r="D16" s="233" t="s">
        <v>93</v>
      </c>
      <c r="E16" s="233" t="s">
        <v>94</v>
      </c>
      <c r="F16" s="235">
        <v>5064.6639999999998</v>
      </c>
      <c r="G16" s="235">
        <v>5074.5110000000004</v>
      </c>
      <c r="H16" s="235">
        <f t="shared" si="0"/>
        <v>10139.174999999999</v>
      </c>
      <c r="I16" s="233">
        <v>4.8784832848870101</v>
      </c>
      <c r="J16" s="233">
        <v>10.4067184205443</v>
      </c>
      <c r="K16" s="233">
        <v>23.587563581932901</v>
      </c>
      <c r="L16" s="233">
        <v>40.889901980127497</v>
      </c>
      <c r="M16" s="233">
        <v>7.9993681452096199</v>
      </c>
      <c r="N16" s="233">
        <v>13.1808451613886</v>
      </c>
      <c r="O16" s="233">
        <v>76.412436418067102</v>
      </c>
      <c r="P16" s="233">
        <v>17.3023383981946</v>
      </c>
      <c r="Q16" s="233">
        <v>54.847817320647401</v>
      </c>
      <c r="R16" s="233">
        <v>67.562885821697506</v>
      </c>
      <c r="S16" s="233">
        <v>71.722273869921096</v>
      </c>
      <c r="T16" s="233">
        <v>37.545478922452801</v>
      </c>
      <c r="U16" s="233">
        <v>54.419935471726603</v>
      </c>
      <c r="V16" s="233">
        <v>55.627297115504597</v>
      </c>
      <c r="W16" s="233">
        <v>21.564619097419701</v>
      </c>
      <c r="X16" s="233">
        <v>4.6901625481459801</v>
      </c>
      <c r="Y16" s="233">
        <v>4.0091074227577801</v>
      </c>
      <c r="Z16" s="233">
        <v>8.6787132672521903</v>
      </c>
      <c r="AA16" s="233">
        <v>20.2641381244817</v>
      </c>
      <c r="AB16" s="233">
        <v>36.0868867565922</v>
      </c>
      <c r="AC16" s="233">
        <v>7.0193217325906199</v>
      </c>
      <c r="AD16" s="233">
        <v>11.5854248572295</v>
      </c>
      <c r="AE16" s="233">
        <v>79.735861875518296</v>
      </c>
      <c r="AF16" s="233">
        <v>15.8227486321105</v>
      </c>
      <c r="AG16" s="233">
        <v>54.827840475973701</v>
      </c>
      <c r="AH16" s="233">
        <v>68.504898108003005</v>
      </c>
      <c r="AI16" s="233">
        <v>73.182036990688005</v>
      </c>
      <c r="AJ16" s="233">
        <v>39.005091843863198</v>
      </c>
      <c r="AK16" s="233">
        <v>57.359288358577501</v>
      </c>
      <c r="AL16" s="233">
        <v>24.908021399544602</v>
      </c>
      <c r="AM16" s="233">
        <v>6.5538248848302603</v>
      </c>
    </row>
    <row r="17" spans="1:39">
      <c r="A17" s="236" t="s">
        <v>95</v>
      </c>
      <c r="B17" s="237">
        <v>44</v>
      </c>
      <c r="C17" s="236" t="s">
        <v>96</v>
      </c>
      <c r="D17" s="236" t="s">
        <v>97</v>
      </c>
      <c r="E17" s="236" t="s">
        <v>98</v>
      </c>
      <c r="F17" s="238">
        <v>191.09299999999999</v>
      </c>
      <c r="G17" s="238">
        <v>202.15499999999992</v>
      </c>
      <c r="H17" s="238">
        <f t="shared" si="0"/>
        <v>393.24799999999993</v>
      </c>
      <c r="I17" s="236">
        <v>3.1233384397521502</v>
      </c>
      <c r="J17" s="236">
        <v>7.8654642892865203</v>
      </c>
      <c r="K17" s="236">
        <v>21.8723184720753</v>
      </c>
      <c r="L17" s="236">
        <v>39.074106245097603</v>
      </c>
      <c r="M17" s="236">
        <v>8.6530109445821903</v>
      </c>
      <c r="N17" s="236">
        <v>14.0068541827887</v>
      </c>
      <c r="O17" s="236">
        <v>78.127681527924693</v>
      </c>
      <c r="P17" s="236">
        <v>17.2017877730223</v>
      </c>
      <c r="Q17" s="236">
        <v>55.178803623978098</v>
      </c>
      <c r="R17" s="236">
        <v>67.012534415683604</v>
      </c>
      <c r="S17" s="236">
        <v>71.002911185163001</v>
      </c>
      <c r="T17" s="236">
        <v>37.977015850955702</v>
      </c>
      <c r="U17" s="236">
        <v>53.801123412140598</v>
      </c>
      <c r="V17" s="236">
        <v>56.680722479297899</v>
      </c>
      <c r="W17" s="236">
        <v>22.948877903946698</v>
      </c>
      <c r="X17" s="236">
        <v>7.1247703427617797</v>
      </c>
      <c r="Y17" s="236">
        <v>2.8263876967818198</v>
      </c>
      <c r="Z17" s="236">
        <v>7.1548303056618598</v>
      </c>
      <c r="AA17" s="236">
        <v>20.008886106370699</v>
      </c>
      <c r="AB17" s="236">
        <v>36.2548091001808</v>
      </c>
      <c r="AC17" s="236">
        <v>7.9268107966192396</v>
      </c>
      <c r="AD17" s="236">
        <v>12.854055800708901</v>
      </c>
      <c r="AE17" s="236">
        <v>79.991113893629304</v>
      </c>
      <c r="AF17" s="236">
        <v>16.245922993810002</v>
      </c>
      <c r="AG17" s="236">
        <v>53.4443760034737</v>
      </c>
      <c r="AH17" s="236">
        <v>66.083347638618207</v>
      </c>
      <c r="AI17" s="236">
        <v>70.602134685098605</v>
      </c>
      <c r="AJ17" s="236">
        <v>37.198453009663702</v>
      </c>
      <c r="AK17" s="236">
        <v>54.3562116912886</v>
      </c>
      <c r="AL17" s="236">
        <v>26.546737890155601</v>
      </c>
      <c r="AM17" s="236">
        <v>9.3889792085306691</v>
      </c>
    </row>
    <row r="18" spans="1:39">
      <c r="A18" s="233" t="s">
        <v>99</v>
      </c>
      <c r="B18" s="234">
        <v>48</v>
      </c>
      <c r="C18" s="233" t="s">
        <v>100</v>
      </c>
      <c r="D18" s="233" t="s">
        <v>101</v>
      </c>
      <c r="E18" s="233" t="s">
        <v>102</v>
      </c>
      <c r="F18" s="235">
        <v>1100.4740000000002</v>
      </c>
      <c r="G18" s="235">
        <v>601.10900000000015</v>
      </c>
      <c r="H18" s="235">
        <f t="shared" si="0"/>
        <v>1701.5830000000003</v>
      </c>
      <c r="I18" s="233">
        <v>2.5913564438904602</v>
      </c>
      <c r="J18" s="233">
        <v>6.5507897662507499</v>
      </c>
      <c r="K18" s="233">
        <v>17.719864059221599</v>
      </c>
      <c r="L18" s="233">
        <v>32.590056079671299</v>
      </c>
      <c r="M18" s="233">
        <v>7.0874535939841197</v>
      </c>
      <c r="N18" s="233">
        <v>11.169074292970899</v>
      </c>
      <c r="O18" s="233">
        <v>82.280135940778393</v>
      </c>
      <c r="P18" s="233">
        <v>14.8701920204497</v>
      </c>
      <c r="Q18" s="233">
        <v>69.996145767314502</v>
      </c>
      <c r="R18" s="233">
        <v>78.890402726313198</v>
      </c>
      <c r="S18" s="233">
        <v>80.221343077083503</v>
      </c>
      <c r="T18" s="233">
        <v>55.125953746864802</v>
      </c>
      <c r="U18" s="233">
        <v>65.351151056633796</v>
      </c>
      <c r="V18" s="233">
        <v>66.321738223796203</v>
      </c>
      <c r="W18" s="233">
        <v>12.2839901734639</v>
      </c>
      <c r="X18" s="233">
        <v>2.0587928636948898</v>
      </c>
      <c r="Y18" s="233">
        <v>4.0895288658021904</v>
      </c>
      <c r="Z18" s="233">
        <v>10.085365620762801</v>
      </c>
      <c r="AA18" s="233">
        <v>27.596394400626401</v>
      </c>
      <c r="AB18" s="233">
        <v>43.421117964975302</v>
      </c>
      <c r="AC18" s="233">
        <v>10.9989878349216</v>
      </c>
      <c r="AD18" s="233">
        <v>17.5110287798637</v>
      </c>
      <c r="AE18" s="233">
        <v>72.403605599373606</v>
      </c>
      <c r="AF18" s="233">
        <v>15.824723564348901</v>
      </c>
      <c r="AG18" s="233">
        <v>59.099364054771499</v>
      </c>
      <c r="AH18" s="233">
        <v>67.746882340583994</v>
      </c>
      <c r="AI18" s="233">
        <v>69.418864465366795</v>
      </c>
      <c r="AJ18" s="233">
        <v>43.274640490422598</v>
      </c>
      <c r="AK18" s="233">
        <v>53.594140901017902</v>
      </c>
      <c r="AL18" s="233">
        <v>13.3042415446021</v>
      </c>
      <c r="AM18" s="233">
        <v>2.9847411340068399</v>
      </c>
    </row>
    <row r="19" spans="1:39">
      <c r="A19" s="236" t="s">
        <v>103</v>
      </c>
      <c r="B19" s="237">
        <v>50</v>
      </c>
      <c r="C19" s="236" t="s">
        <v>104</v>
      </c>
      <c r="D19" s="236" t="s">
        <v>105</v>
      </c>
      <c r="E19" s="236" t="s">
        <v>106</v>
      </c>
      <c r="F19" s="238">
        <v>83259.107999999993</v>
      </c>
      <c r="G19" s="238">
        <v>81430.275000000009</v>
      </c>
      <c r="H19" s="238">
        <f t="shared" si="0"/>
        <v>164689.383</v>
      </c>
      <c r="I19" s="236">
        <v>3.882503486689</v>
      </c>
      <c r="J19" s="236">
        <v>9.6322211342414192</v>
      </c>
      <c r="K19" s="236">
        <v>29.776321003128</v>
      </c>
      <c r="L19" s="236">
        <v>49.404792612519401</v>
      </c>
      <c r="M19" s="236">
        <v>11.8703927982547</v>
      </c>
      <c r="N19" s="236">
        <v>20.144099868886599</v>
      </c>
      <c r="O19" s="236">
        <v>70.223678996871996</v>
      </c>
      <c r="P19" s="236">
        <v>19.628471609391401</v>
      </c>
      <c r="Q19" s="236">
        <v>55.407410943555803</v>
      </c>
      <c r="R19" s="236">
        <v>63.168838797068801</v>
      </c>
      <c r="S19" s="236">
        <v>65.2296748531395</v>
      </c>
      <c r="T19" s="236">
        <v>35.778939334164399</v>
      </c>
      <c r="U19" s="236">
        <v>45.601203243748103</v>
      </c>
      <c r="V19" s="236">
        <v>47.390120927866803</v>
      </c>
      <c r="W19" s="236">
        <v>14.8162680533162</v>
      </c>
      <c r="X19" s="236">
        <v>4.9940041437324796</v>
      </c>
      <c r="Y19" s="236">
        <v>3.7909648199505401</v>
      </c>
      <c r="Z19" s="236">
        <v>9.4113039532755902</v>
      </c>
      <c r="AA19" s="236">
        <v>29.111190593391299</v>
      </c>
      <c r="AB19" s="236">
        <v>48.423149320453497</v>
      </c>
      <c r="AC19" s="236">
        <v>11.6131330177494</v>
      </c>
      <c r="AD19" s="236">
        <v>19.6998866401157</v>
      </c>
      <c r="AE19" s="236">
        <v>70.888809406608701</v>
      </c>
      <c r="AF19" s="236">
        <v>19.311958727062201</v>
      </c>
      <c r="AG19" s="236">
        <v>56.451344519929798</v>
      </c>
      <c r="AH19" s="236">
        <v>63.988574471701298</v>
      </c>
      <c r="AI19" s="236">
        <v>65.936100520082604</v>
      </c>
      <c r="AJ19" s="236">
        <v>37.1393857928676</v>
      </c>
      <c r="AK19" s="236">
        <v>46.624141793020499</v>
      </c>
      <c r="AL19" s="236">
        <v>14.437464886678899</v>
      </c>
      <c r="AM19" s="236">
        <v>4.9527088865260502</v>
      </c>
    </row>
    <row r="20" spans="1:39">
      <c r="A20" s="233" t="s">
        <v>107</v>
      </c>
      <c r="B20" s="234">
        <v>52</v>
      </c>
      <c r="C20" s="233" t="s">
        <v>108</v>
      </c>
      <c r="D20" s="233" t="s">
        <v>109</v>
      </c>
      <c r="E20" s="233" t="s">
        <v>110</v>
      </c>
      <c r="F20" s="235">
        <v>139.084</v>
      </c>
      <c r="G20" s="235">
        <v>148.28700000000001</v>
      </c>
      <c r="H20" s="235">
        <f t="shared" si="0"/>
        <v>287.37099999999998</v>
      </c>
      <c r="I20" s="233">
        <v>2.5063153565973399</v>
      </c>
      <c r="J20" s="233">
        <v>6.4534132299377296</v>
      </c>
      <c r="K20" s="233">
        <v>20.665168605334301</v>
      </c>
      <c r="L20" s="233">
        <v>34.1572670661497</v>
      </c>
      <c r="M20" s="233">
        <v>8.4398131829397194</v>
      </c>
      <c r="N20" s="233">
        <v>14.2117553753965</v>
      </c>
      <c r="O20" s="233">
        <v>79.334831394665699</v>
      </c>
      <c r="P20" s="233">
        <v>13.4920984608154</v>
      </c>
      <c r="Q20" s="233">
        <v>47.456967453883202</v>
      </c>
      <c r="R20" s="233">
        <v>61.272911526260103</v>
      </c>
      <c r="S20" s="233">
        <v>66.774615203853799</v>
      </c>
      <c r="T20" s="233">
        <v>33.964868993067803</v>
      </c>
      <c r="U20" s="233">
        <v>53.2825167430384</v>
      </c>
      <c r="V20" s="233">
        <v>57.815620961109197</v>
      </c>
      <c r="W20" s="233">
        <v>31.8778639407825</v>
      </c>
      <c r="X20" s="233">
        <v>12.5602161908119</v>
      </c>
      <c r="Y20" s="233">
        <v>2.27169867399807</v>
      </c>
      <c r="Z20" s="233">
        <v>5.7903660521889497</v>
      </c>
      <c r="AA20" s="233">
        <v>18.170887401292902</v>
      </c>
      <c r="AB20" s="233">
        <v>30.489938462162002</v>
      </c>
      <c r="AC20" s="233">
        <v>7.3622491370517196</v>
      </c>
      <c r="AD20" s="233">
        <v>12.380521349104001</v>
      </c>
      <c r="AE20" s="233">
        <v>81.829112598707098</v>
      </c>
      <c r="AF20" s="233">
        <v>12.3190510608691</v>
      </c>
      <c r="AG20" s="233">
        <v>45.907497348671598</v>
      </c>
      <c r="AH20" s="233">
        <v>60.388140962854401</v>
      </c>
      <c r="AI20" s="233">
        <v>66.189990475482801</v>
      </c>
      <c r="AJ20" s="233">
        <v>33.588446287802498</v>
      </c>
      <c r="AK20" s="233">
        <v>53.870939414613702</v>
      </c>
      <c r="AL20" s="233">
        <v>35.921615250035501</v>
      </c>
      <c r="AM20" s="233">
        <v>15.639122123224301</v>
      </c>
    </row>
    <row r="21" spans="1:39">
      <c r="A21" s="236" t="s">
        <v>111</v>
      </c>
      <c r="B21" s="237">
        <v>112</v>
      </c>
      <c r="C21" s="236" t="s">
        <v>112</v>
      </c>
      <c r="D21" s="236" t="s">
        <v>113</v>
      </c>
      <c r="E21" s="236" t="s">
        <v>114</v>
      </c>
      <c r="F21" s="238">
        <v>4399.3669999999984</v>
      </c>
      <c r="G21" s="238">
        <v>5049.9540000000006</v>
      </c>
      <c r="H21" s="238">
        <f t="shared" si="0"/>
        <v>9449.3209999999999</v>
      </c>
      <c r="I21" s="236">
        <v>2.88057470563805</v>
      </c>
      <c r="J21" s="236">
        <v>6.8410109008006996</v>
      </c>
      <c r="K21" s="236">
        <v>17.771062566939101</v>
      </c>
      <c r="L21" s="236">
        <v>30.240834488682399</v>
      </c>
      <c r="M21" s="236">
        <v>6.85399370888919</v>
      </c>
      <c r="N21" s="236">
        <v>10.9300516661384</v>
      </c>
      <c r="O21" s="236">
        <v>82.228937433060906</v>
      </c>
      <c r="P21" s="236">
        <v>12.4697719217433</v>
      </c>
      <c r="Q21" s="236">
        <v>51.453474079359196</v>
      </c>
      <c r="R21" s="236">
        <v>66.960860572118094</v>
      </c>
      <c r="S21" s="236">
        <v>72.634121130732296</v>
      </c>
      <c r="T21" s="236">
        <v>38.983702157615802</v>
      </c>
      <c r="U21" s="236">
        <v>60.164349208989002</v>
      </c>
      <c r="V21" s="236">
        <v>63.550256495425799</v>
      </c>
      <c r="W21" s="236">
        <v>30.775463353701799</v>
      </c>
      <c r="X21" s="236">
        <v>9.5948163023285904</v>
      </c>
      <c r="Y21" s="236">
        <v>2.3532863191584399</v>
      </c>
      <c r="Z21" s="236">
        <v>5.5958949270379099</v>
      </c>
      <c r="AA21" s="236">
        <v>14.5894267887138</v>
      </c>
      <c r="AB21" s="236">
        <v>24.824759355858198</v>
      </c>
      <c r="AC21" s="236">
        <v>5.6364474567306901</v>
      </c>
      <c r="AD21" s="236">
        <v>8.9935318616759297</v>
      </c>
      <c r="AE21" s="236">
        <v>85.410573211286106</v>
      </c>
      <c r="AF21" s="236">
        <v>10.235332567144299</v>
      </c>
      <c r="AG21" s="236">
        <v>44.821524598031203</v>
      </c>
      <c r="AH21" s="236">
        <v>60.745702189383998</v>
      </c>
      <c r="AI21" s="236">
        <v>67.6207037880706</v>
      </c>
      <c r="AJ21" s="236">
        <v>34.586192030886799</v>
      </c>
      <c r="AK21" s="236">
        <v>57.385371220926302</v>
      </c>
      <c r="AL21" s="236">
        <v>40.589048613255002</v>
      </c>
      <c r="AM21" s="236">
        <v>17.789869423215499</v>
      </c>
    </row>
    <row r="22" spans="1:39">
      <c r="A22" s="233" t="s">
        <v>115</v>
      </c>
      <c r="B22" s="234">
        <v>56</v>
      </c>
      <c r="C22" s="233" t="s">
        <v>116</v>
      </c>
      <c r="D22" s="233" t="s">
        <v>67</v>
      </c>
      <c r="E22" s="233" t="s">
        <v>68</v>
      </c>
      <c r="F22" s="235">
        <v>5744.3349999999982</v>
      </c>
      <c r="G22" s="235">
        <v>5845.2810000000009</v>
      </c>
      <c r="H22" s="235">
        <f t="shared" si="0"/>
        <v>11589.615999999998</v>
      </c>
      <c r="I22" s="233">
        <v>2.3508837130320202</v>
      </c>
      <c r="J22" s="233">
        <v>6.0120512291465804</v>
      </c>
      <c r="K22" s="233">
        <v>17.620834735688401</v>
      </c>
      <c r="L22" s="233">
        <v>29.640134259118501</v>
      </c>
      <c r="M22" s="233">
        <v>7.1409387956793697</v>
      </c>
      <c r="N22" s="233">
        <v>11.608783506541799</v>
      </c>
      <c r="O22" s="233">
        <v>82.379165264311595</v>
      </c>
      <c r="P22" s="233">
        <v>12.019299523430099</v>
      </c>
      <c r="Q22" s="233">
        <v>46.1536496638575</v>
      </c>
      <c r="R22" s="233">
        <v>60.408850279928402</v>
      </c>
      <c r="S22" s="233">
        <v>66.305091416759694</v>
      </c>
      <c r="T22" s="233">
        <v>34.134350140427401</v>
      </c>
      <c r="U22" s="233">
        <v>54.285791893329502</v>
      </c>
      <c r="V22" s="233">
        <v>59.670511472988203</v>
      </c>
      <c r="W22" s="233">
        <v>36.225515600454102</v>
      </c>
      <c r="X22" s="233">
        <v>16.074073847552</v>
      </c>
      <c r="Y22" s="233">
        <v>2.1684325213659501</v>
      </c>
      <c r="Z22" s="233">
        <v>5.5527865324783203</v>
      </c>
      <c r="AA22" s="233">
        <v>16.2893759001382</v>
      </c>
      <c r="AB22" s="233">
        <v>27.499424660689201</v>
      </c>
      <c r="AC22" s="233">
        <v>6.6044945977337299</v>
      </c>
      <c r="AD22" s="233">
        <v>10.736589367659899</v>
      </c>
      <c r="AE22" s="233">
        <v>83.710624099861803</v>
      </c>
      <c r="AF22" s="233">
        <v>11.210048760551</v>
      </c>
      <c r="AG22" s="233">
        <v>43.718766827912702</v>
      </c>
      <c r="AH22" s="233">
        <v>57.5086004734071</v>
      </c>
      <c r="AI22" s="233">
        <v>63.402879849814198</v>
      </c>
      <c r="AJ22" s="233">
        <v>32.508718067361698</v>
      </c>
      <c r="AK22" s="233">
        <v>52.192831089263201</v>
      </c>
      <c r="AL22" s="233">
        <v>39.9918572719492</v>
      </c>
      <c r="AM22" s="233">
        <v>20.307744250047602</v>
      </c>
    </row>
    <row r="23" spans="1:39">
      <c r="A23" s="236" t="s">
        <v>117</v>
      </c>
      <c r="B23" s="237">
        <v>84</v>
      </c>
      <c r="C23" s="236" t="s">
        <v>118</v>
      </c>
      <c r="D23" s="236" t="s">
        <v>119</v>
      </c>
      <c r="E23" s="236" t="s">
        <v>120</v>
      </c>
      <c r="F23" s="238">
        <v>197.76100000000005</v>
      </c>
      <c r="G23" s="238">
        <v>199.85999999999999</v>
      </c>
      <c r="H23" s="238">
        <f t="shared" si="0"/>
        <v>397.62100000000004</v>
      </c>
      <c r="I23" s="236">
        <v>4.6029122744327298</v>
      </c>
      <c r="J23" s="236">
        <v>11.157204752546001</v>
      </c>
      <c r="K23" s="236">
        <v>32.955154547078799</v>
      </c>
      <c r="L23" s="236">
        <v>53.597909594425602</v>
      </c>
      <c r="M23" s="236">
        <v>12.9561595497588</v>
      </c>
      <c r="N23" s="236">
        <v>21.797949794532801</v>
      </c>
      <c r="O23" s="236">
        <v>67.044845452921194</v>
      </c>
      <c r="P23" s="236">
        <v>20.6427550473468</v>
      </c>
      <c r="Q23" s="236">
        <v>53.789418438449196</v>
      </c>
      <c r="R23" s="236">
        <v>61.045537788100802</v>
      </c>
      <c r="S23" s="236">
        <v>63.267152045738797</v>
      </c>
      <c r="T23" s="236">
        <v>33.1466633911024</v>
      </c>
      <c r="U23" s="236">
        <v>42.624396998392001</v>
      </c>
      <c r="V23" s="236">
        <v>44.149209397891703</v>
      </c>
      <c r="W23" s="236">
        <v>13.255427014472</v>
      </c>
      <c r="X23" s="236">
        <v>3.77769340718242</v>
      </c>
      <c r="Y23" s="236">
        <v>4.5142993512151603</v>
      </c>
      <c r="Z23" s="236">
        <v>10.8056808910941</v>
      </c>
      <c r="AA23" s="236">
        <v>31.956399882341799</v>
      </c>
      <c r="AB23" s="236">
        <v>52.5543475244612</v>
      </c>
      <c r="AC23" s="236">
        <v>12.4456802251045</v>
      </c>
      <c r="AD23" s="236">
        <v>21.1507189912478</v>
      </c>
      <c r="AE23" s="236">
        <v>68.043600117658201</v>
      </c>
      <c r="AF23" s="236">
        <v>20.597947642119401</v>
      </c>
      <c r="AG23" s="236">
        <v>55.043483569482099</v>
      </c>
      <c r="AH23" s="236">
        <v>62.165132115682397</v>
      </c>
      <c r="AI23" s="236">
        <v>64.296298762924394</v>
      </c>
      <c r="AJ23" s="236">
        <v>34.445535927362698</v>
      </c>
      <c r="AK23" s="236">
        <v>43.698351120805</v>
      </c>
      <c r="AL23" s="236">
        <v>13.000116548176001</v>
      </c>
      <c r="AM23" s="236">
        <v>3.7473013547337999</v>
      </c>
    </row>
    <row r="24" spans="1:39">
      <c r="A24" s="233" t="s">
        <v>121</v>
      </c>
      <c r="B24" s="234">
        <v>204</v>
      </c>
      <c r="C24" s="233" t="s">
        <v>122</v>
      </c>
      <c r="D24" s="233" t="s">
        <v>123</v>
      </c>
      <c r="E24" s="233" t="s">
        <v>124</v>
      </c>
      <c r="F24" s="235">
        <v>6054.2480000000014</v>
      </c>
      <c r="G24" s="235">
        <v>6068.9500000000016</v>
      </c>
      <c r="H24" s="235">
        <f t="shared" si="0"/>
        <v>12123.198000000004</v>
      </c>
      <c r="I24" s="233">
        <v>6.5986060687264096</v>
      </c>
      <c r="J24" s="233">
        <v>15.924476990108101</v>
      </c>
      <c r="K24" s="233">
        <v>42.694632772995099</v>
      </c>
      <c r="L24" s="233">
        <v>62.740545478772503</v>
      </c>
      <c r="M24" s="233">
        <v>16.833350258176001</v>
      </c>
      <c r="N24" s="233">
        <v>26.770155782886999</v>
      </c>
      <c r="O24" s="233">
        <v>57.305367227004901</v>
      </c>
      <c r="P24" s="233">
        <v>20.0459127057774</v>
      </c>
      <c r="Q24" s="233">
        <v>48.050930814130403</v>
      </c>
      <c r="R24" s="233">
        <v>53.2486022260806</v>
      </c>
      <c r="S24" s="233">
        <v>54.885182297142897</v>
      </c>
      <c r="T24" s="233">
        <v>28.005018108352999</v>
      </c>
      <c r="U24" s="233">
        <v>34.8392695913655</v>
      </c>
      <c r="V24" s="233">
        <v>35.912796084150401</v>
      </c>
      <c r="W24" s="233">
        <v>9.2544364128744991</v>
      </c>
      <c r="X24" s="233">
        <v>2.4201849298620401</v>
      </c>
      <c r="Y24" s="233">
        <v>6.4069616493212198</v>
      </c>
      <c r="Z24" s="233">
        <v>15.4693355922756</v>
      </c>
      <c r="AA24" s="233">
        <v>41.624916573155303</v>
      </c>
      <c r="AB24" s="233">
        <v>61.5441300505328</v>
      </c>
      <c r="AC24" s="233">
        <v>16.409216924464801</v>
      </c>
      <c r="AD24" s="233">
        <v>26.155580980879702</v>
      </c>
      <c r="AE24" s="233">
        <v>58.375083426844697</v>
      </c>
      <c r="AF24" s="233">
        <v>19.9192134773776</v>
      </c>
      <c r="AG24" s="233">
        <v>47.888109015966599</v>
      </c>
      <c r="AH24" s="233">
        <v>53.225410166707</v>
      </c>
      <c r="AI24" s="233">
        <v>55.015346872318403</v>
      </c>
      <c r="AJ24" s="233">
        <v>27.968895538588999</v>
      </c>
      <c r="AK24" s="233">
        <v>35.0961333949409</v>
      </c>
      <c r="AL24" s="233">
        <v>10.4869744108781</v>
      </c>
      <c r="AM24" s="233">
        <v>3.3597365545263198</v>
      </c>
    </row>
    <row r="25" spans="1:39">
      <c r="A25" s="236" t="s">
        <v>125</v>
      </c>
      <c r="B25" s="237">
        <v>64</v>
      </c>
      <c r="C25" s="236" t="s">
        <v>126</v>
      </c>
      <c r="D25" s="236" t="s">
        <v>127</v>
      </c>
      <c r="E25" s="236" t="s">
        <v>125</v>
      </c>
      <c r="F25" s="238">
        <v>410.08700000000005</v>
      </c>
      <c r="G25" s="238">
        <v>361.52499999999998</v>
      </c>
      <c r="H25" s="238">
        <f t="shared" si="0"/>
        <v>771.61200000000008</v>
      </c>
      <c r="I25" s="236">
        <v>3.0373495017824399</v>
      </c>
      <c r="J25" s="236">
        <v>8.04859182673367</v>
      </c>
      <c r="K25" s="236">
        <v>25.3627331341104</v>
      </c>
      <c r="L25" s="236">
        <v>43.8986365077687</v>
      </c>
      <c r="M25" s="236">
        <v>10.442870732480699</v>
      </c>
      <c r="N25" s="236">
        <v>17.314141307376701</v>
      </c>
      <c r="O25" s="236">
        <v>74.6372668658896</v>
      </c>
      <c r="P25" s="236">
        <v>18.5359033736584</v>
      </c>
      <c r="Q25" s="236">
        <v>59.648941587954397</v>
      </c>
      <c r="R25" s="236">
        <v>66.937955818623806</v>
      </c>
      <c r="S25" s="236">
        <v>69.291637439824697</v>
      </c>
      <c r="T25" s="236">
        <v>41.113038214295997</v>
      </c>
      <c r="U25" s="236">
        <v>50.755734066166397</v>
      </c>
      <c r="V25" s="236">
        <v>52.756051157382899</v>
      </c>
      <c r="W25" s="236">
        <v>14.988325277935299</v>
      </c>
      <c r="X25" s="236">
        <v>5.3456294260649004</v>
      </c>
      <c r="Y25" s="236">
        <v>3.4098832506847101</v>
      </c>
      <c r="Z25" s="236">
        <v>9.0445856319691202</v>
      </c>
      <c r="AA25" s="236">
        <v>28.609718139373999</v>
      </c>
      <c r="AB25" s="236">
        <v>49.2625771867487</v>
      </c>
      <c r="AC25" s="236">
        <v>11.785656512692899</v>
      </c>
      <c r="AD25" s="236">
        <v>19.565132507404901</v>
      </c>
      <c r="AE25" s="236">
        <v>71.390281860626004</v>
      </c>
      <c r="AF25" s="236">
        <v>20.652859047374701</v>
      </c>
      <c r="AG25" s="236">
        <v>57.764415165697002</v>
      </c>
      <c r="AH25" s="236">
        <v>64.440267078701197</v>
      </c>
      <c r="AI25" s="236">
        <v>66.655882369347296</v>
      </c>
      <c r="AJ25" s="236">
        <v>37.111556118322298</v>
      </c>
      <c r="AK25" s="236">
        <v>46.003023321972599</v>
      </c>
      <c r="AL25" s="236">
        <v>13.625866694929</v>
      </c>
      <c r="AM25" s="236">
        <v>4.7343994912786602</v>
      </c>
    </row>
    <row r="26" spans="1:39">
      <c r="A26" s="233" t="s">
        <v>128</v>
      </c>
      <c r="B26" s="234">
        <v>68</v>
      </c>
      <c r="C26" s="233" t="s">
        <v>129</v>
      </c>
      <c r="D26" s="233" t="s">
        <v>130</v>
      </c>
      <c r="E26" s="233" t="s">
        <v>131</v>
      </c>
      <c r="F26" s="235">
        <v>5858.0190000000002</v>
      </c>
      <c r="G26" s="235">
        <v>5815.01</v>
      </c>
      <c r="H26" s="235">
        <f t="shared" si="0"/>
        <v>11673.029</v>
      </c>
      <c r="I26" s="233">
        <v>4.5467316735295</v>
      </c>
      <c r="J26" s="233">
        <v>11.2597857082344</v>
      </c>
      <c r="K26" s="233">
        <v>32.984397794334598</v>
      </c>
      <c r="L26" s="233">
        <v>52.483309950351099</v>
      </c>
      <c r="M26" s="233">
        <v>13.165137230331499</v>
      </c>
      <c r="N26" s="233">
        <v>21.724612086100301</v>
      </c>
      <c r="O26" s="233">
        <v>67.015602205665303</v>
      </c>
      <c r="P26" s="233">
        <v>19.498912156016502</v>
      </c>
      <c r="Q26" s="233">
        <v>51.507424989037801</v>
      </c>
      <c r="R26" s="233">
        <v>58.302758571251701</v>
      </c>
      <c r="S26" s="233">
        <v>60.971751433468299</v>
      </c>
      <c r="T26" s="233">
        <v>32.0085128330213</v>
      </c>
      <c r="U26" s="233">
        <v>41.472839277451897</v>
      </c>
      <c r="V26" s="233">
        <v>43.494935031927803</v>
      </c>
      <c r="W26" s="233">
        <v>15.508177216627599</v>
      </c>
      <c r="X26" s="233">
        <v>6.0438507721969996</v>
      </c>
      <c r="Y26" s="233">
        <v>4.37240263803257</v>
      </c>
      <c r="Z26" s="233">
        <v>10.848582085510101</v>
      </c>
      <c r="AA26" s="233">
        <v>31.904392798641801</v>
      </c>
      <c r="AB26" s="233">
        <v>50.969613316423803</v>
      </c>
      <c r="AC26" s="233">
        <v>12.7461015056061</v>
      </c>
      <c r="AD26" s="233">
        <v>21.055810713131699</v>
      </c>
      <c r="AE26" s="233">
        <v>68.095607201358305</v>
      </c>
      <c r="AF26" s="233">
        <v>19.065220517782102</v>
      </c>
      <c r="AG26" s="233">
        <v>51.317428684028201</v>
      </c>
      <c r="AH26" s="233">
        <v>58.376463161119098</v>
      </c>
      <c r="AI26" s="233">
        <v>61.207267850705797</v>
      </c>
      <c r="AJ26" s="233">
        <v>32.252208166246099</v>
      </c>
      <c r="AK26" s="233">
        <v>42.142047332923703</v>
      </c>
      <c r="AL26" s="233">
        <v>16.778178517330101</v>
      </c>
      <c r="AM26" s="233">
        <v>6.8883393506525099</v>
      </c>
    </row>
    <row r="27" spans="1:39">
      <c r="A27" s="236" t="s">
        <v>132</v>
      </c>
      <c r="B27" s="237">
        <v>70</v>
      </c>
      <c r="C27" s="236" t="s">
        <v>133</v>
      </c>
      <c r="D27" s="236" t="s">
        <v>134</v>
      </c>
      <c r="E27" s="236" t="s">
        <v>135</v>
      </c>
      <c r="F27" s="238">
        <v>1606.6089999999999</v>
      </c>
      <c r="G27" s="238">
        <v>1674.2059999999999</v>
      </c>
      <c r="H27" s="238">
        <f t="shared" si="0"/>
        <v>3280.8149999999996</v>
      </c>
      <c r="I27" s="236">
        <v>1.7524839819220199</v>
      </c>
      <c r="J27" s="236">
        <v>4.6875980449798096</v>
      </c>
      <c r="K27" s="236">
        <v>13.973363930837101</v>
      </c>
      <c r="L27" s="236">
        <v>26.1185762247482</v>
      </c>
      <c r="M27" s="236">
        <v>5.6696429277634897</v>
      </c>
      <c r="N27" s="236">
        <v>9.2857658858573195</v>
      </c>
      <c r="O27" s="236">
        <v>86.026636069162905</v>
      </c>
      <c r="P27" s="236">
        <v>12.145212293911101</v>
      </c>
      <c r="Q27" s="236">
        <v>50.091196661553603</v>
      </c>
      <c r="R27" s="236">
        <v>66.002338051444497</v>
      </c>
      <c r="S27" s="236">
        <v>72.813956173926996</v>
      </c>
      <c r="T27" s="236">
        <v>37.945984367642502</v>
      </c>
      <c r="U27" s="236">
        <v>60.668743880015903</v>
      </c>
      <c r="V27" s="236">
        <v>65.823213992874102</v>
      </c>
      <c r="W27" s="236">
        <v>35.935439407609302</v>
      </c>
      <c r="X27" s="236">
        <v>13.212679895235899</v>
      </c>
      <c r="Y27" s="236">
        <v>1.6325794881306599</v>
      </c>
      <c r="Z27" s="236">
        <v>4.36747798418466</v>
      </c>
      <c r="AA27" s="236">
        <v>13.0271452194789</v>
      </c>
      <c r="AB27" s="236">
        <v>24.357237462545001</v>
      </c>
      <c r="AC27" s="236">
        <v>5.2861990684260096</v>
      </c>
      <c r="AD27" s="236">
        <v>8.6596672352942701</v>
      </c>
      <c r="AE27" s="236">
        <v>86.972854780521104</v>
      </c>
      <c r="AF27" s="236">
        <v>11.330092243066099</v>
      </c>
      <c r="AG27" s="236">
        <v>46.961255822337399</v>
      </c>
      <c r="AH27" s="236">
        <v>62.270156455316602</v>
      </c>
      <c r="AI27" s="236">
        <v>69.318038731115806</v>
      </c>
      <c r="AJ27" s="236">
        <v>35.631163579271302</v>
      </c>
      <c r="AK27" s="236">
        <v>57.987946488049701</v>
      </c>
      <c r="AL27" s="236">
        <v>40.011598958183697</v>
      </c>
      <c r="AM27" s="236">
        <v>17.654816049405301</v>
      </c>
    </row>
    <row r="28" spans="1:39">
      <c r="A28" s="233" t="s">
        <v>136</v>
      </c>
      <c r="B28" s="234">
        <v>72</v>
      </c>
      <c r="C28" s="233" t="s">
        <v>137</v>
      </c>
      <c r="D28" s="233" t="s">
        <v>138</v>
      </c>
      <c r="E28" s="233" t="s">
        <v>139</v>
      </c>
      <c r="F28" s="235">
        <v>1139.0990000000004</v>
      </c>
      <c r="G28" s="235">
        <v>1212.5259999999998</v>
      </c>
      <c r="H28" s="235">
        <f t="shared" si="0"/>
        <v>2351.625</v>
      </c>
      <c r="I28" s="233">
        <v>4.96024005470586</v>
      </c>
      <c r="J28" s="233">
        <v>11.8966674893777</v>
      </c>
      <c r="K28" s="233">
        <v>32.315206266050602</v>
      </c>
      <c r="L28" s="233">
        <v>51.928018973663498</v>
      </c>
      <c r="M28" s="233">
        <v>12.5656289006899</v>
      </c>
      <c r="N28" s="233">
        <v>20.4185387766729</v>
      </c>
      <c r="O28" s="233">
        <v>67.684793733949405</v>
      </c>
      <c r="P28" s="233">
        <v>19.6128127076129</v>
      </c>
      <c r="Q28" s="233">
        <v>56.449214399390002</v>
      </c>
      <c r="R28" s="233">
        <v>62.450139728186898</v>
      </c>
      <c r="S28" s="233">
        <v>64.584676873591803</v>
      </c>
      <c r="T28" s="233">
        <v>36.836401691777098</v>
      </c>
      <c r="U28" s="233">
        <v>44.9718641659789</v>
      </c>
      <c r="V28" s="233">
        <v>46.302886831226601</v>
      </c>
      <c r="W28" s="233">
        <v>11.2355793345594</v>
      </c>
      <c r="X28" s="233">
        <v>3.1001168603576201</v>
      </c>
      <c r="Y28" s="233">
        <v>4.8458760719244998</v>
      </c>
      <c r="Z28" s="233">
        <v>11.640649567696901</v>
      </c>
      <c r="AA28" s="233">
        <v>31.681441881993798</v>
      </c>
      <c r="AB28" s="233">
        <v>51.010974528211896</v>
      </c>
      <c r="AC28" s="233">
        <v>12.3310625788375</v>
      </c>
      <c r="AD28" s="233">
        <v>20.040792314296901</v>
      </c>
      <c r="AE28" s="233">
        <v>68.318558118006194</v>
      </c>
      <c r="AF28" s="233">
        <v>19.329532646218102</v>
      </c>
      <c r="AG28" s="233">
        <v>55.473042445913499</v>
      </c>
      <c r="AH28" s="233">
        <v>61.840901140912798</v>
      </c>
      <c r="AI28" s="233">
        <v>64.223250029149995</v>
      </c>
      <c r="AJ28" s="233">
        <v>36.143509799695401</v>
      </c>
      <c r="AK28" s="233">
        <v>44.893717382931897</v>
      </c>
      <c r="AL28" s="233">
        <v>12.8455156720927</v>
      </c>
      <c r="AM28" s="233">
        <v>4.0953080888562301</v>
      </c>
    </row>
    <row r="29" spans="1:39">
      <c r="A29" s="236" t="s">
        <v>140</v>
      </c>
      <c r="B29" s="237">
        <v>76</v>
      </c>
      <c r="C29" s="236" t="s">
        <v>141</v>
      </c>
      <c r="D29" s="236" t="s">
        <v>142</v>
      </c>
      <c r="E29" s="236" t="s">
        <v>143</v>
      </c>
      <c r="F29" s="238">
        <v>104435.78300000001</v>
      </c>
      <c r="G29" s="238">
        <v>108123.626</v>
      </c>
      <c r="H29" s="238">
        <f t="shared" si="0"/>
        <v>212559.40900000001</v>
      </c>
      <c r="I29" s="236">
        <v>3.1086673757678698</v>
      </c>
      <c r="J29" s="236">
        <v>7.5059330784871596</v>
      </c>
      <c r="K29" s="236">
        <v>23.878503695345099</v>
      </c>
      <c r="L29" s="236">
        <v>40.833990846524003</v>
      </c>
      <c r="M29" s="236">
        <v>9.3530087815999892</v>
      </c>
      <c r="N29" s="236">
        <v>16.372570616857999</v>
      </c>
      <c r="O29" s="236">
        <v>76.121496304654798</v>
      </c>
      <c r="P29" s="236">
        <v>16.9554871511789</v>
      </c>
      <c r="Q29" s="236">
        <v>55.186422430726502</v>
      </c>
      <c r="R29" s="236">
        <v>65.626277571498505</v>
      </c>
      <c r="S29" s="236">
        <v>69.307781319543906</v>
      </c>
      <c r="T29" s="236">
        <v>38.230935279547602</v>
      </c>
      <c r="U29" s="236">
        <v>52.352294168364999</v>
      </c>
      <c r="V29" s="236">
        <v>55.008215302711399</v>
      </c>
      <c r="W29" s="236">
        <v>20.935073873928399</v>
      </c>
      <c r="X29" s="236">
        <v>6.8137149851109697</v>
      </c>
      <c r="Y29" s="236">
        <v>2.8832149088486299</v>
      </c>
      <c r="Z29" s="236">
        <v>6.9676362149763396</v>
      </c>
      <c r="AA29" s="236">
        <v>22.204542135165699</v>
      </c>
      <c r="AB29" s="236">
        <v>38.111336842321499</v>
      </c>
      <c r="AC29" s="236">
        <v>8.6994749201561206</v>
      </c>
      <c r="AD29" s="236">
        <v>15.236905920189299</v>
      </c>
      <c r="AE29" s="236">
        <v>77.795457864834304</v>
      </c>
      <c r="AF29" s="236">
        <v>15.9067947071558</v>
      </c>
      <c r="AG29" s="236">
        <v>53.715436124467203</v>
      </c>
      <c r="AH29" s="236">
        <v>64.860446777417494</v>
      </c>
      <c r="AI29" s="236">
        <v>68.953451401599594</v>
      </c>
      <c r="AJ29" s="236">
        <v>37.808641417311399</v>
      </c>
      <c r="AK29" s="236">
        <v>53.046656694443797</v>
      </c>
      <c r="AL29" s="236">
        <v>24.080021740367101</v>
      </c>
      <c r="AM29" s="236">
        <v>8.8420064632347106</v>
      </c>
    </row>
    <row r="30" spans="1:39">
      <c r="A30" s="233" t="s">
        <v>144</v>
      </c>
      <c r="B30" s="234">
        <v>96</v>
      </c>
      <c r="C30" s="233" t="s">
        <v>145</v>
      </c>
      <c r="D30" s="233" t="s">
        <v>146</v>
      </c>
      <c r="E30" s="233" t="s">
        <v>147</v>
      </c>
      <c r="F30" s="235">
        <v>226.98699999999997</v>
      </c>
      <c r="G30" s="235">
        <v>210.49599999999998</v>
      </c>
      <c r="H30" s="235">
        <f t="shared" si="0"/>
        <v>437.48299999999995</v>
      </c>
      <c r="I30" s="233">
        <v>3.4326023841083901</v>
      </c>
      <c r="J30" s="233">
        <v>7.9494741476973001</v>
      </c>
      <c r="K30" s="233">
        <v>23.065950547409301</v>
      </c>
      <c r="L30" s="233">
        <v>39.869832635407498</v>
      </c>
      <c r="M30" s="233">
        <v>8.7044265159819698</v>
      </c>
      <c r="N30" s="233">
        <v>15.116476399712001</v>
      </c>
      <c r="O30" s="233">
        <v>76.934049452590699</v>
      </c>
      <c r="P30" s="233">
        <v>16.8038820879983</v>
      </c>
      <c r="Q30" s="233">
        <v>59.290821778953998</v>
      </c>
      <c r="R30" s="233">
        <v>69.708797534250394</v>
      </c>
      <c r="S30" s="233">
        <v>72.867580620748797</v>
      </c>
      <c r="T30" s="233">
        <v>42.486939690955701</v>
      </c>
      <c r="U30" s="233">
        <v>56.0636985327505</v>
      </c>
      <c r="V30" s="233">
        <v>57.841918661450201</v>
      </c>
      <c r="W30" s="233">
        <v>17.643227673636702</v>
      </c>
      <c r="X30" s="233">
        <v>4.06646883184193</v>
      </c>
      <c r="Y30" s="233">
        <v>3.5104137725981102</v>
      </c>
      <c r="Z30" s="233">
        <v>8.0185805294378607</v>
      </c>
      <c r="AA30" s="233">
        <v>23.153035908384201</v>
      </c>
      <c r="AB30" s="233">
        <v>39.872100447940902</v>
      </c>
      <c r="AC30" s="233">
        <v>8.6688015753481409</v>
      </c>
      <c r="AD30" s="233">
        <v>15.134455378946299</v>
      </c>
      <c r="AE30" s="233">
        <v>76.846964091615902</v>
      </c>
      <c r="AF30" s="233">
        <v>16.719064539556701</v>
      </c>
      <c r="AG30" s="233">
        <v>58.559375319870703</v>
      </c>
      <c r="AH30" s="233">
        <v>68.785977841792501</v>
      </c>
      <c r="AI30" s="233">
        <v>72.052193155619193</v>
      </c>
      <c r="AJ30" s="233">
        <v>41.840310780313999</v>
      </c>
      <c r="AK30" s="233">
        <v>55.333128616062503</v>
      </c>
      <c r="AL30" s="233">
        <v>18.287588771745099</v>
      </c>
      <c r="AM30" s="233">
        <v>4.7947709359966098</v>
      </c>
    </row>
    <row r="31" spans="1:39">
      <c r="A31" s="236" t="s">
        <v>148</v>
      </c>
      <c r="B31" s="237">
        <v>100</v>
      </c>
      <c r="C31" s="236" t="s">
        <v>149</v>
      </c>
      <c r="D31" s="236" t="s">
        <v>150</v>
      </c>
      <c r="E31" s="236" t="s">
        <v>151</v>
      </c>
      <c r="F31" s="238">
        <v>3374.1210000000001</v>
      </c>
      <c r="G31" s="238">
        <v>3574.3240000000005</v>
      </c>
      <c r="H31" s="238">
        <f t="shared" si="0"/>
        <v>6948.4450000000006</v>
      </c>
      <c r="I31" s="236">
        <v>1.8448750304456201</v>
      </c>
      <c r="J31" s="236">
        <v>4.9847901454652899</v>
      </c>
      <c r="K31" s="236">
        <v>14.9608194377507</v>
      </c>
      <c r="L31" s="236">
        <v>25.2279174965437</v>
      </c>
      <c r="M31" s="236">
        <v>6.25823759157438</v>
      </c>
      <c r="N31" s="236">
        <v>9.9760292922854408</v>
      </c>
      <c r="O31" s="236">
        <v>85.0391805622493</v>
      </c>
      <c r="P31" s="236">
        <v>10.267098058793</v>
      </c>
      <c r="Q31" s="236">
        <v>47.9212910900713</v>
      </c>
      <c r="R31" s="236">
        <v>61.777632675247297</v>
      </c>
      <c r="S31" s="236">
        <v>68.378790155829705</v>
      </c>
      <c r="T31" s="236">
        <v>37.654193031278197</v>
      </c>
      <c r="U31" s="236">
        <v>58.111692097036702</v>
      </c>
      <c r="V31" s="236">
        <v>64.150951544391901</v>
      </c>
      <c r="W31" s="236">
        <v>37.117889472178</v>
      </c>
      <c r="X31" s="236">
        <v>16.660390406419499</v>
      </c>
      <c r="Y31" s="236">
        <v>1.6362286716202701</v>
      </c>
      <c r="Z31" s="236">
        <v>4.4577534265354997</v>
      </c>
      <c r="AA31" s="236">
        <v>13.372308256407599</v>
      </c>
      <c r="AB31" s="236">
        <v>22.539176434651399</v>
      </c>
      <c r="AC31" s="236">
        <v>5.6176440907512104</v>
      </c>
      <c r="AD31" s="236">
        <v>8.9145548298721007</v>
      </c>
      <c r="AE31" s="236">
        <v>86.627691743592393</v>
      </c>
      <c r="AF31" s="236">
        <v>9.1668681782437709</v>
      </c>
      <c r="AG31" s="236">
        <v>42.693561956717801</v>
      </c>
      <c r="AH31" s="236">
        <v>56.215800266620903</v>
      </c>
      <c r="AI31" s="236">
        <v>63.419025394810802</v>
      </c>
      <c r="AJ31" s="236">
        <v>33.526693778473998</v>
      </c>
      <c r="AK31" s="236">
        <v>54.252157216567099</v>
      </c>
      <c r="AL31" s="236">
        <v>43.934129786874699</v>
      </c>
      <c r="AM31" s="236">
        <v>23.208666348781598</v>
      </c>
    </row>
    <row r="32" spans="1:39">
      <c r="A32" s="233" t="s">
        <v>152</v>
      </c>
      <c r="B32" s="234">
        <v>854</v>
      </c>
      <c r="C32" s="233" t="s">
        <v>153</v>
      </c>
      <c r="D32" s="233" t="s">
        <v>123</v>
      </c>
      <c r="E32" s="233" t="s">
        <v>124</v>
      </c>
      <c r="F32" s="235">
        <v>10444.713000000002</v>
      </c>
      <c r="G32" s="235">
        <v>10458.564999999997</v>
      </c>
      <c r="H32" s="235">
        <f t="shared" si="0"/>
        <v>20903.277999999998</v>
      </c>
      <c r="I32" s="233">
        <v>7.3489775076732098</v>
      </c>
      <c r="J32" s="233">
        <v>17.686665720558601</v>
      </c>
      <c r="K32" s="233">
        <v>46.380073852078802</v>
      </c>
      <c r="L32" s="233">
        <v>66.790951868145896</v>
      </c>
      <c r="M32" s="233">
        <v>18.260419014545</v>
      </c>
      <c r="N32" s="233">
        <v>28.693408131520101</v>
      </c>
      <c r="O32" s="233">
        <v>53.619926147921198</v>
      </c>
      <c r="P32" s="233">
        <v>20.410878016067102</v>
      </c>
      <c r="Q32" s="233">
        <v>46.526097276600197</v>
      </c>
      <c r="R32" s="233">
        <v>50.541201612835899</v>
      </c>
      <c r="S32" s="233">
        <v>51.731327584335801</v>
      </c>
      <c r="T32" s="233">
        <v>26.115219260533099</v>
      </c>
      <c r="U32" s="233">
        <v>31.3204495682686</v>
      </c>
      <c r="V32" s="233">
        <v>32.1739614377503</v>
      </c>
      <c r="W32" s="233">
        <v>7.0938288713209596</v>
      </c>
      <c r="X32" s="233">
        <v>1.8885985635854099</v>
      </c>
      <c r="Y32" s="233">
        <v>7.02311433722583</v>
      </c>
      <c r="Z32" s="233">
        <v>17.046855223351301</v>
      </c>
      <c r="AA32" s="233">
        <v>44.776210217844998</v>
      </c>
      <c r="AB32" s="233">
        <v>64.256509009860906</v>
      </c>
      <c r="AC32" s="233">
        <v>17.747548483537901</v>
      </c>
      <c r="AD32" s="233">
        <v>27.729354994493701</v>
      </c>
      <c r="AE32" s="233">
        <v>55.223789782155002</v>
      </c>
      <c r="AF32" s="233">
        <v>19.480298792015901</v>
      </c>
      <c r="AG32" s="233">
        <v>45.812937604390498</v>
      </c>
      <c r="AH32" s="233">
        <v>50.670670440212298</v>
      </c>
      <c r="AI32" s="233">
        <v>52.333365674877598</v>
      </c>
      <c r="AJ32" s="233">
        <v>26.332638812374601</v>
      </c>
      <c r="AK32" s="233">
        <v>32.853066882861697</v>
      </c>
      <c r="AL32" s="233">
        <v>9.41085217776447</v>
      </c>
      <c r="AM32" s="233">
        <v>2.8904241072774499</v>
      </c>
    </row>
    <row r="33" spans="1:39">
      <c r="A33" s="236" t="s">
        <v>154</v>
      </c>
      <c r="B33" s="237">
        <v>108</v>
      </c>
      <c r="C33" s="236" t="s">
        <v>155</v>
      </c>
      <c r="D33" s="236" t="s">
        <v>156</v>
      </c>
      <c r="E33" s="236" t="s">
        <v>157</v>
      </c>
      <c r="F33" s="238">
        <v>5899.8640000000014</v>
      </c>
      <c r="G33" s="238">
        <v>5990.9169999999995</v>
      </c>
      <c r="H33" s="238">
        <f t="shared" si="0"/>
        <v>11890.781000000001</v>
      </c>
      <c r="I33" s="236">
        <v>7.9614686711202598</v>
      </c>
      <c r="J33" s="236">
        <v>18.777741412743001</v>
      </c>
      <c r="K33" s="236">
        <v>45.336401512463702</v>
      </c>
      <c r="L33" s="236">
        <v>64.389692540067102</v>
      </c>
      <c r="M33" s="236">
        <v>17.490123514001599</v>
      </c>
      <c r="N33" s="236">
        <v>26.558660099720701</v>
      </c>
      <c r="O33" s="236">
        <v>54.663598487536397</v>
      </c>
      <c r="P33" s="236">
        <v>19.0532910276035</v>
      </c>
      <c r="Q33" s="236">
        <v>45.564596128475401</v>
      </c>
      <c r="R33" s="236">
        <v>50.628123511105301</v>
      </c>
      <c r="S33" s="236">
        <v>52.348344530063201</v>
      </c>
      <c r="T33" s="236">
        <v>26.511305100872001</v>
      </c>
      <c r="U33" s="236">
        <v>33.295053502459702</v>
      </c>
      <c r="V33" s="236">
        <v>34.280765181476802</v>
      </c>
      <c r="W33" s="236">
        <v>9.0990023590609592</v>
      </c>
      <c r="X33" s="236">
        <v>2.3152539574731898</v>
      </c>
      <c r="Y33" s="236">
        <v>7.6523925542147397</v>
      </c>
      <c r="Z33" s="236">
        <v>18.118962864270699</v>
      </c>
      <c r="AA33" s="236">
        <v>44.278580130578398</v>
      </c>
      <c r="AB33" s="236">
        <v>63.695952155812599</v>
      </c>
      <c r="AC33" s="236">
        <v>17.135407446811001</v>
      </c>
      <c r="AD33" s="236">
        <v>26.159617266307698</v>
      </c>
      <c r="AE33" s="236">
        <v>55.721419869421702</v>
      </c>
      <c r="AF33" s="236">
        <v>19.4173720252343</v>
      </c>
      <c r="AG33" s="236">
        <v>46.397900927884798</v>
      </c>
      <c r="AH33" s="236">
        <v>51.386698720300998</v>
      </c>
      <c r="AI33" s="236">
        <v>53.0977212009361</v>
      </c>
      <c r="AJ33" s="236">
        <v>26.980528902650502</v>
      </c>
      <c r="AK33" s="236">
        <v>33.680349175701799</v>
      </c>
      <c r="AL33" s="236">
        <v>9.3235189415368396</v>
      </c>
      <c r="AM33" s="236">
        <v>2.6236986684855701</v>
      </c>
    </row>
    <row r="34" spans="1:39">
      <c r="A34" s="233" t="s">
        <v>158</v>
      </c>
      <c r="B34" s="234">
        <v>132</v>
      </c>
      <c r="C34" s="233" t="s">
        <v>159</v>
      </c>
      <c r="D34" s="233" t="s">
        <v>160</v>
      </c>
      <c r="E34" s="233" t="s">
        <v>161</v>
      </c>
      <c r="F34" s="235">
        <v>279.11699999999996</v>
      </c>
      <c r="G34" s="235">
        <v>276.87100000000004</v>
      </c>
      <c r="H34" s="235">
        <f t="shared" si="0"/>
        <v>555.98800000000006</v>
      </c>
      <c r="I34" s="233">
        <v>4.2553937086053999</v>
      </c>
      <c r="J34" s="233">
        <v>10.5650885615609</v>
      </c>
      <c r="K34" s="233">
        <v>30.4395565886764</v>
      </c>
      <c r="L34" s="233">
        <v>52.171305976396603</v>
      </c>
      <c r="M34" s="233">
        <v>12.040400736682701</v>
      </c>
      <c r="N34" s="233">
        <v>19.874468027115501</v>
      </c>
      <c r="O34" s="233">
        <v>69.560443411323604</v>
      </c>
      <c r="P34" s="233">
        <v>21.7317493877201</v>
      </c>
      <c r="Q34" s="233">
        <v>57.856066535060599</v>
      </c>
      <c r="R34" s="233">
        <v>63.927468685146103</v>
      </c>
      <c r="S34" s="233">
        <v>65.759051813088206</v>
      </c>
      <c r="T34" s="233">
        <v>36.124317147340399</v>
      </c>
      <c r="U34" s="233">
        <v>44.027302425367999</v>
      </c>
      <c r="V34" s="233">
        <v>44.897148664275903</v>
      </c>
      <c r="W34" s="233">
        <v>11.704376876263</v>
      </c>
      <c r="X34" s="233">
        <v>3.8013915982353899</v>
      </c>
      <c r="Y34" s="233">
        <v>3.9965867071205099</v>
      </c>
      <c r="Z34" s="233">
        <v>10.033184791883899</v>
      </c>
      <c r="AA34" s="233">
        <v>28.882146581966399</v>
      </c>
      <c r="AB34" s="233">
        <v>50.161752157011499</v>
      </c>
      <c r="AC34" s="233">
        <v>11.487626813311801</v>
      </c>
      <c r="AD34" s="233">
        <v>18.848961790082502</v>
      </c>
      <c r="AE34" s="233">
        <v>71.117853418033604</v>
      </c>
      <c r="AF34" s="233">
        <v>21.279605575045</v>
      </c>
      <c r="AG34" s="233">
        <v>54.997250402958201</v>
      </c>
      <c r="AH34" s="233">
        <v>63.4269460510098</v>
      </c>
      <c r="AI34" s="233">
        <v>65.777946335450807</v>
      </c>
      <c r="AJ34" s="233">
        <v>33.717644827913198</v>
      </c>
      <c r="AK34" s="233">
        <v>44.498340760405803</v>
      </c>
      <c r="AL34" s="233">
        <v>16.1206030150754</v>
      </c>
      <c r="AM34" s="233">
        <v>5.3399070825827302</v>
      </c>
    </row>
    <row r="35" spans="1:39">
      <c r="A35" s="236" t="s">
        <v>162</v>
      </c>
      <c r="B35" s="237">
        <v>116</v>
      </c>
      <c r="C35" s="236" t="s">
        <v>163</v>
      </c>
      <c r="D35" s="236" t="s">
        <v>164</v>
      </c>
      <c r="E35" s="236" t="s">
        <v>165</v>
      </c>
      <c r="F35" s="238">
        <v>8162.4239999999991</v>
      </c>
      <c r="G35" s="238">
        <v>8556.5470000000023</v>
      </c>
      <c r="H35" s="238">
        <f t="shared" si="0"/>
        <v>16718.971000000001</v>
      </c>
      <c r="I35" s="236">
        <v>4.6919686018472397</v>
      </c>
      <c r="J35" s="236">
        <v>11.892941364441899</v>
      </c>
      <c r="K35" s="236">
        <v>32.983524682442599</v>
      </c>
      <c r="L35" s="236">
        <v>54.584666222874702</v>
      </c>
      <c r="M35" s="236">
        <v>13.2514160676396</v>
      </c>
      <c r="N35" s="236">
        <v>21.0905833180007</v>
      </c>
      <c r="O35" s="236">
        <v>67.016475317557394</v>
      </c>
      <c r="P35" s="236">
        <v>21.601141540432099</v>
      </c>
      <c r="Q35" s="236">
        <v>54.691415836004403</v>
      </c>
      <c r="R35" s="236">
        <v>61.416417724620999</v>
      </c>
      <c r="S35" s="236">
        <v>63.622150854010101</v>
      </c>
      <c r="T35" s="236">
        <v>33.0902742955723</v>
      </c>
      <c r="U35" s="236">
        <v>42.021009313577999</v>
      </c>
      <c r="V35" s="236">
        <v>43.470716703030803</v>
      </c>
      <c r="W35" s="236">
        <v>12.325059481553</v>
      </c>
      <c r="X35" s="236">
        <v>3.39432446354733</v>
      </c>
      <c r="Y35" s="236">
        <v>4.3705657260977597</v>
      </c>
      <c r="Z35" s="236">
        <v>10.8764001857202</v>
      </c>
      <c r="AA35" s="236">
        <v>30.287083108545399</v>
      </c>
      <c r="AB35" s="236">
        <v>49.942773860568202</v>
      </c>
      <c r="AC35" s="236">
        <v>12.0418008344878</v>
      </c>
      <c r="AD35" s="236">
        <v>19.410682922825199</v>
      </c>
      <c r="AE35" s="236">
        <v>69.712916891454597</v>
      </c>
      <c r="AF35" s="236">
        <v>19.655690752022799</v>
      </c>
      <c r="AG35" s="236">
        <v>53.5065844835894</v>
      </c>
      <c r="AH35" s="236">
        <v>61.852440146896903</v>
      </c>
      <c r="AI35" s="236">
        <v>64.905958774371896</v>
      </c>
      <c r="AJ35" s="236">
        <v>33.8508937315666</v>
      </c>
      <c r="AK35" s="236">
        <v>45.250268022349097</v>
      </c>
      <c r="AL35" s="236">
        <v>16.206332407865201</v>
      </c>
      <c r="AM35" s="236">
        <v>4.8069581170826901</v>
      </c>
    </row>
    <row r="36" spans="1:39">
      <c r="A36" s="233" t="s">
        <v>166</v>
      </c>
      <c r="B36" s="234">
        <v>120</v>
      </c>
      <c r="C36" s="233" t="s">
        <v>167</v>
      </c>
      <c r="D36" s="233" t="s">
        <v>168</v>
      </c>
      <c r="E36" s="233" t="s">
        <v>169</v>
      </c>
      <c r="F36" s="235">
        <v>13277.074999999999</v>
      </c>
      <c r="G36" s="235">
        <v>13268.788999999999</v>
      </c>
      <c r="H36" s="235">
        <f t="shared" si="0"/>
        <v>26545.863999999998</v>
      </c>
      <c r="I36" s="233">
        <v>6.71079456257233</v>
      </c>
      <c r="J36" s="233">
        <v>16.1424362189954</v>
      </c>
      <c r="K36" s="233">
        <v>42.817318358600602</v>
      </c>
      <c r="L36" s="233">
        <v>63.179160136953499</v>
      </c>
      <c r="M36" s="233">
        <v>16.828865713000098</v>
      </c>
      <c r="N36" s="233">
        <v>26.674882139605199</v>
      </c>
      <c r="O36" s="233">
        <v>57.182681641399398</v>
      </c>
      <c r="P36" s="233">
        <v>20.3618417783529</v>
      </c>
      <c r="Q36" s="233">
        <v>48.1579612010811</v>
      </c>
      <c r="R36" s="233">
        <v>52.682371333665301</v>
      </c>
      <c r="S36" s="233">
        <v>54.253049360348001</v>
      </c>
      <c r="T36" s="233">
        <v>27.7961194227282</v>
      </c>
      <c r="U36" s="233">
        <v>33.891207581995097</v>
      </c>
      <c r="V36" s="233">
        <v>35.092866143421503</v>
      </c>
      <c r="W36" s="233">
        <v>9.0247204403182799</v>
      </c>
      <c r="X36" s="233">
        <v>2.9296322810514202</v>
      </c>
      <c r="Y36" s="233">
        <v>6.5901723756082502</v>
      </c>
      <c r="Z36" s="233">
        <v>15.882031152610599</v>
      </c>
      <c r="AA36" s="233">
        <v>42.2280443749708</v>
      </c>
      <c r="AB36" s="233">
        <v>62.415451818235198</v>
      </c>
      <c r="AC36" s="233">
        <v>16.620120383193999</v>
      </c>
      <c r="AD36" s="233">
        <v>26.346013222360199</v>
      </c>
      <c r="AE36" s="233">
        <v>57.7719556250292</v>
      </c>
      <c r="AF36" s="233">
        <v>20.187407443264402</v>
      </c>
      <c r="AG36" s="233">
        <v>47.8751479515537</v>
      </c>
      <c r="AH36" s="233">
        <v>52.586559423298503</v>
      </c>
      <c r="AI36" s="233">
        <v>54.2904129963472</v>
      </c>
      <c r="AJ36" s="233">
        <v>27.687740508289401</v>
      </c>
      <c r="AK36" s="233">
        <v>34.103005553082902</v>
      </c>
      <c r="AL36" s="233">
        <v>9.8968076734754806</v>
      </c>
      <c r="AM36" s="233">
        <v>3.4815426286819799</v>
      </c>
    </row>
    <row r="37" spans="1:39">
      <c r="A37" s="236" t="s">
        <v>170</v>
      </c>
      <c r="B37" s="237">
        <v>124</v>
      </c>
      <c r="C37" s="236" t="s">
        <v>171</v>
      </c>
      <c r="D37" s="236" t="s">
        <v>172</v>
      </c>
      <c r="E37" s="236" t="s">
        <v>173</v>
      </c>
      <c r="F37" s="238">
        <v>18732.177999999996</v>
      </c>
      <c r="G37" s="238">
        <v>19009.978999999996</v>
      </c>
      <c r="H37" s="238">
        <f t="shared" si="0"/>
        <v>37742.156999999992</v>
      </c>
      <c r="I37" s="236">
        <v>2.1620958464217002</v>
      </c>
      <c r="J37" s="236">
        <v>5.5826772042246899</v>
      </c>
      <c r="K37" s="236">
        <v>16.5133049721905</v>
      </c>
      <c r="L37" s="236">
        <v>29.7546014679012</v>
      </c>
      <c r="M37" s="236">
        <v>6.6620786807423702</v>
      </c>
      <c r="N37" s="236">
        <v>10.930627767965801</v>
      </c>
      <c r="O37" s="236">
        <v>83.486695027809503</v>
      </c>
      <c r="P37" s="236">
        <v>13.241296495710699</v>
      </c>
      <c r="Q37" s="236">
        <v>47.248470627727599</v>
      </c>
      <c r="R37" s="236">
        <v>62.562999726022298</v>
      </c>
      <c r="S37" s="236">
        <v>68.730044897787906</v>
      </c>
      <c r="T37" s="236">
        <v>34.0071741320169</v>
      </c>
      <c r="U37" s="236">
        <v>55.488748402077199</v>
      </c>
      <c r="V37" s="236">
        <v>60.779373450460902</v>
      </c>
      <c r="W37" s="236">
        <v>36.238224400081997</v>
      </c>
      <c r="X37" s="236">
        <v>14.756650130021599</v>
      </c>
      <c r="Y37" s="236">
        <v>2.0163071414781499</v>
      </c>
      <c r="Z37" s="236">
        <v>5.2297881946436098</v>
      </c>
      <c r="AA37" s="236">
        <v>15.439398522407901</v>
      </c>
      <c r="AB37" s="236">
        <v>27.849569211830701</v>
      </c>
      <c r="AC37" s="236">
        <v>6.2469266976926097</v>
      </c>
      <c r="AD37" s="236">
        <v>10.209610327764301</v>
      </c>
      <c r="AE37" s="236">
        <v>84.560601477592101</v>
      </c>
      <c r="AF37" s="236">
        <v>12.410170689422801</v>
      </c>
      <c r="AG37" s="236">
        <v>45.898694460351699</v>
      </c>
      <c r="AH37" s="236">
        <v>60.871113892560302</v>
      </c>
      <c r="AI37" s="236">
        <v>67.067575910532497</v>
      </c>
      <c r="AJ37" s="236">
        <v>33.4885237709289</v>
      </c>
      <c r="AK37" s="236">
        <v>54.657405221109599</v>
      </c>
      <c r="AL37" s="236">
        <v>38.661907017240402</v>
      </c>
      <c r="AM37" s="236">
        <v>17.4930255670596</v>
      </c>
    </row>
    <row r="38" spans="1:39">
      <c r="A38" s="233" t="s">
        <v>174</v>
      </c>
      <c r="B38" s="234">
        <v>140</v>
      </c>
      <c r="C38" s="233" t="s">
        <v>175</v>
      </c>
      <c r="D38" s="233" t="s">
        <v>168</v>
      </c>
      <c r="E38" s="233" t="s">
        <v>169</v>
      </c>
      <c r="F38" s="235">
        <v>2394.0420000000004</v>
      </c>
      <c r="G38" s="235">
        <v>2435.7219999999998</v>
      </c>
      <c r="H38" s="235">
        <f t="shared" si="0"/>
        <v>4829.7640000000001</v>
      </c>
      <c r="I38" s="233">
        <v>6.2269553344390101</v>
      </c>
      <c r="J38" s="233">
        <v>14.6722016644738</v>
      </c>
      <c r="K38" s="233">
        <v>39.460540577241701</v>
      </c>
      <c r="L38" s="233">
        <v>60.076019968386397</v>
      </c>
      <c r="M38" s="233">
        <v>15.2309869347666</v>
      </c>
      <c r="N38" s="233">
        <v>24.788338912767902</v>
      </c>
      <c r="O38" s="233">
        <v>60.539459422758299</v>
      </c>
      <c r="P38" s="233">
        <v>20.615479391144699</v>
      </c>
      <c r="Q38" s="233">
        <v>50.099858492401701</v>
      </c>
      <c r="R38" s="233">
        <v>55.253210831417199</v>
      </c>
      <c r="S38" s="233">
        <v>57.111150119772198</v>
      </c>
      <c r="T38" s="233">
        <v>29.484379101257002</v>
      </c>
      <c r="U38" s="233">
        <v>36.495670728627502</v>
      </c>
      <c r="V38" s="233">
        <v>37.897125880489398</v>
      </c>
      <c r="W38" s="233">
        <v>10.439600930356599</v>
      </c>
      <c r="X38" s="233">
        <v>3.4283093029860701</v>
      </c>
      <c r="Y38" s="233">
        <v>6.0077525619190801</v>
      </c>
      <c r="Z38" s="233">
        <v>14.234225242831</v>
      </c>
      <c r="AA38" s="233">
        <v>38.656083088919402</v>
      </c>
      <c r="AB38" s="233">
        <v>59.121132170234397</v>
      </c>
      <c r="AC38" s="233">
        <v>14.9857778478914</v>
      </c>
      <c r="AD38" s="233">
        <v>24.4218578460885</v>
      </c>
      <c r="AE38" s="233">
        <v>61.343916911080598</v>
      </c>
      <c r="AF38" s="233">
        <v>20.465049081315001</v>
      </c>
      <c r="AG38" s="233">
        <v>49.315734996313701</v>
      </c>
      <c r="AH38" s="233">
        <v>54.924913153921203</v>
      </c>
      <c r="AI38" s="233">
        <v>57.073246900424003</v>
      </c>
      <c r="AJ38" s="233">
        <v>28.850685914998699</v>
      </c>
      <c r="AK38" s="233">
        <v>36.608197819109002</v>
      </c>
      <c r="AL38" s="233">
        <v>12.0281819147669</v>
      </c>
      <c r="AM38" s="233">
        <v>4.2706700106565503</v>
      </c>
    </row>
    <row r="39" spans="1:39">
      <c r="A39" s="236" t="s">
        <v>176</v>
      </c>
      <c r="B39" s="237">
        <v>148</v>
      </c>
      <c r="C39" s="236" t="s">
        <v>177</v>
      </c>
      <c r="D39" s="236" t="s">
        <v>168</v>
      </c>
      <c r="E39" s="236" t="s">
        <v>169</v>
      </c>
      <c r="F39" s="238">
        <v>8200.17</v>
      </c>
      <c r="G39" s="238">
        <v>8225.6890000000003</v>
      </c>
      <c r="H39" s="238">
        <f t="shared" si="0"/>
        <v>16425.859</v>
      </c>
      <c r="I39" s="236">
        <v>8.0023951376656299</v>
      </c>
      <c r="J39" s="236">
        <v>18.904056607894798</v>
      </c>
      <c r="K39" s="236">
        <v>48.078560856944698</v>
      </c>
      <c r="L39" s="236">
        <v>68.392877140622204</v>
      </c>
      <c r="M39" s="236">
        <v>18.644877440583699</v>
      </c>
      <c r="N39" s="236">
        <v>29.1745042490499</v>
      </c>
      <c r="O39" s="236">
        <v>51.921439143055203</v>
      </c>
      <c r="P39" s="236">
        <v>20.314316283677499</v>
      </c>
      <c r="Q39" s="236">
        <v>44.342888887212901</v>
      </c>
      <c r="R39" s="236">
        <v>48.2811628655192</v>
      </c>
      <c r="S39" s="236">
        <v>49.672582461280001</v>
      </c>
      <c r="T39" s="236">
        <v>24.028572603535402</v>
      </c>
      <c r="U39" s="236">
        <v>29.358266177602498</v>
      </c>
      <c r="V39" s="236">
        <v>30.304610227346</v>
      </c>
      <c r="W39" s="236">
        <v>7.5785502558423099</v>
      </c>
      <c r="X39" s="236">
        <v>2.24885668177525</v>
      </c>
      <c r="Y39" s="236">
        <v>7.8672437741988102</v>
      </c>
      <c r="Z39" s="236">
        <v>18.600134295762501</v>
      </c>
      <c r="AA39" s="236">
        <v>47.361210950054797</v>
      </c>
      <c r="AB39" s="236">
        <v>67.5283003283499</v>
      </c>
      <c r="AC39" s="236">
        <v>18.375452092690001</v>
      </c>
      <c r="AD39" s="236">
        <v>28.7610766542923</v>
      </c>
      <c r="AE39" s="236">
        <v>52.638789049945203</v>
      </c>
      <c r="AF39" s="236">
        <v>20.167089378295099</v>
      </c>
      <c r="AG39" s="236">
        <v>44.092405869925997</v>
      </c>
      <c r="AH39" s="236">
        <v>48.366146683098698</v>
      </c>
      <c r="AI39" s="236">
        <v>49.985656002845097</v>
      </c>
      <c r="AJ39" s="236">
        <v>23.925316491630898</v>
      </c>
      <c r="AK39" s="236">
        <v>29.818566624550002</v>
      </c>
      <c r="AL39" s="236">
        <v>8.5463831800192303</v>
      </c>
      <c r="AM39" s="236">
        <v>2.65313304710009</v>
      </c>
    </row>
    <row r="40" spans="1:39">
      <c r="A40" s="233" t="s">
        <v>178</v>
      </c>
      <c r="B40" s="234">
        <v>152</v>
      </c>
      <c r="C40" s="233" t="s">
        <v>179</v>
      </c>
      <c r="D40" s="233" t="s">
        <v>180</v>
      </c>
      <c r="E40" s="233" t="s">
        <v>181</v>
      </c>
      <c r="F40" s="235">
        <v>9425.6689999999981</v>
      </c>
      <c r="G40" s="235">
        <v>9690.5399999999991</v>
      </c>
      <c r="H40" s="235">
        <f t="shared" si="0"/>
        <v>19116.208999999995</v>
      </c>
      <c r="I40" s="233">
        <v>2.6759023560403699</v>
      </c>
      <c r="J40" s="233">
        <v>6.7280108150484201</v>
      </c>
      <c r="K40" s="233">
        <v>20.7803914345557</v>
      </c>
      <c r="L40" s="233">
        <v>36.621114979454099</v>
      </c>
      <c r="M40" s="233">
        <v>8.2933063536828406</v>
      </c>
      <c r="N40" s="233">
        <v>14.0523806195073</v>
      </c>
      <c r="O40" s="233">
        <v>79.219608565444304</v>
      </c>
      <c r="P40" s="233">
        <v>15.840723544898401</v>
      </c>
      <c r="Q40" s="233">
        <v>53.312142457613803</v>
      </c>
      <c r="R40" s="233">
        <v>65.449845732427406</v>
      </c>
      <c r="S40" s="233">
        <v>69.922188071035904</v>
      </c>
      <c r="T40" s="233">
        <v>37.4714189127154</v>
      </c>
      <c r="U40" s="233">
        <v>54.081464526137502</v>
      </c>
      <c r="V40" s="233">
        <v>57.377926699385398</v>
      </c>
      <c r="W40" s="233">
        <v>25.907466107830398</v>
      </c>
      <c r="X40" s="233">
        <v>9.2974204944083407</v>
      </c>
      <c r="Y40" s="233">
        <v>2.5109665908287102</v>
      </c>
      <c r="Z40" s="233">
        <v>6.3195474532699203</v>
      </c>
      <c r="AA40" s="233">
        <v>19.530055409216999</v>
      </c>
      <c r="AB40" s="233">
        <v>34.1983545274908</v>
      </c>
      <c r="AC40" s="233">
        <v>7.8067786112328204</v>
      </c>
      <c r="AD40" s="233">
        <v>13.210507955947101</v>
      </c>
      <c r="AE40" s="233">
        <v>80.469944590782902</v>
      </c>
      <c r="AF40" s="233">
        <v>14.668299118273801</v>
      </c>
      <c r="AG40" s="233">
        <v>50.546558962691599</v>
      </c>
      <c r="AH40" s="233">
        <v>62.8918807637287</v>
      </c>
      <c r="AI40" s="233">
        <v>67.805984600143901</v>
      </c>
      <c r="AJ40" s="233">
        <v>35.878259844417798</v>
      </c>
      <c r="AK40" s="233">
        <v>53.1376854818702</v>
      </c>
      <c r="AL40" s="233">
        <v>29.923385628091399</v>
      </c>
      <c r="AM40" s="233">
        <v>12.663959990639</v>
      </c>
    </row>
    <row r="41" spans="1:39">
      <c r="A41" s="236" t="s">
        <v>182</v>
      </c>
      <c r="B41" s="237">
        <v>156</v>
      </c>
      <c r="C41" s="236" t="s">
        <v>183</v>
      </c>
      <c r="D41" s="236" t="s">
        <v>184</v>
      </c>
      <c r="E41" s="236" t="s">
        <v>185</v>
      </c>
      <c r="F41" s="238">
        <v>738247.34</v>
      </c>
      <c r="G41" s="238">
        <v>701076.43399999989</v>
      </c>
      <c r="H41" s="238">
        <f t="shared" si="0"/>
        <v>1439323.7739999997</v>
      </c>
      <c r="I41" s="236">
        <v>2.54143759979977</v>
      </c>
      <c r="J41" s="236">
        <v>6.2975857742635499</v>
      </c>
      <c r="K41" s="236">
        <v>17.963965708591399</v>
      </c>
      <c r="L41" s="236">
        <v>31.7667866729848</v>
      </c>
      <c r="M41" s="236">
        <v>7.1263293073623002</v>
      </c>
      <c r="N41" s="236">
        <v>11.6663799343278</v>
      </c>
      <c r="O41" s="236">
        <v>82.036034291408697</v>
      </c>
      <c r="P41" s="236">
        <v>13.802820964393399</v>
      </c>
      <c r="Q41" s="236">
        <v>54.781700034447901</v>
      </c>
      <c r="R41" s="236">
        <v>67.583082046896394</v>
      </c>
      <c r="S41" s="236">
        <v>73.113370135912803</v>
      </c>
      <c r="T41" s="236">
        <v>40.978879070054496</v>
      </c>
      <c r="U41" s="236">
        <v>59.310549171519398</v>
      </c>
      <c r="V41" s="236">
        <v>62.897195683252498</v>
      </c>
      <c r="W41" s="236">
        <v>27.2543342569607</v>
      </c>
      <c r="X41" s="236">
        <v>8.9226641554958199</v>
      </c>
      <c r="Y41" s="236">
        <v>2.3443518924087301</v>
      </c>
      <c r="Z41" s="236">
        <v>5.7771143136584602</v>
      </c>
      <c r="AA41" s="236">
        <v>16.453228206862899</v>
      </c>
      <c r="AB41" s="236">
        <v>29.526767737411902</v>
      </c>
      <c r="AC41" s="236">
        <v>6.4935185757739999</v>
      </c>
      <c r="AD41" s="236">
        <v>10.6761138932045</v>
      </c>
      <c r="AE41" s="236">
        <v>83.546771793137097</v>
      </c>
      <c r="AF41" s="236">
        <v>13.073539530548899</v>
      </c>
      <c r="AG41" s="236">
        <v>54.413277597466298</v>
      </c>
      <c r="AH41" s="236">
        <v>67.540785529232096</v>
      </c>
      <c r="AI41" s="236">
        <v>73.327537935431295</v>
      </c>
      <c r="AJ41" s="236">
        <v>41.339738066917299</v>
      </c>
      <c r="AK41" s="236">
        <v>60.253998404882402</v>
      </c>
      <c r="AL41" s="236">
        <v>29.133494195670799</v>
      </c>
      <c r="AM41" s="236">
        <v>10.219233857705699</v>
      </c>
    </row>
    <row r="42" spans="1:39">
      <c r="A42" s="233" t="s">
        <v>186</v>
      </c>
      <c r="B42" s="234">
        <v>170</v>
      </c>
      <c r="C42" s="233" t="s">
        <v>187</v>
      </c>
      <c r="D42" s="233" t="s">
        <v>188</v>
      </c>
      <c r="E42" s="233" t="s">
        <v>189</v>
      </c>
      <c r="F42" s="235">
        <v>24984.563999999998</v>
      </c>
      <c r="G42" s="235">
        <v>25898.32</v>
      </c>
      <c r="H42" s="235">
        <f t="shared" si="0"/>
        <v>50882.883999999998</v>
      </c>
      <c r="I42" s="233">
        <v>3.1886321897729202</v>
      </c>
      <c r="J42" s="233">
        <v>8.0393884061492908</v>
      </c>
      <c r="K42" s="233">
        <v>25.1809934788565</v>
      </c>
      <c r="L42" s="233">
        <v>42.859906917819899</v>
      </c>
      <c r="M42" s="233">
        <v>10.1232609213413</v>
      </c>
      <c r="N42" s="233">
        <v>17.1416050727072</v>
      </c>
      <c r="O42" s="233">
        <v>74.819006521143606</v>
      </c>
      <c r="P42" s="233">
        <v>17.678913438963502</v>
      </c>
      <c r="Q42" s="233">
        <v>54.728459768101096</v>
      </c>
      <c r="R42" s="233">
        <v>64.933772498492701</v>
      </c>
      <c r="S42" s="233">
        <v>68.539356081560697</v>
      </c>
      <c r="T42" s="233">
        <v>37.049546329137598</v>
      </c>
      <c r="U42" s="233">
        <v>50.860442642597199</v>
      </c>
      <c r="V42" s="233">
        <v>53.400624633189601</v>
      </c>
      <c r="W42" s="233">
        <v>20.090546753042499</v>
      </c>
      <c r="X42" s="233">
        <v>6.2796504395828103</v>
      </c>
      <c r="Y42" s="233">
        <v>2.95984479420992</v>
      </c>
      <c r="Z42" s="233">
        <v>7.47163721843211</v>
      </c>
      <c r="AA42" s="233">
        <v>23.4196382308</v>
      </c>
      <c r="AB42" s="233">
        <v>40.0435422765512</v>
      </c>
      <c r="AC42" s="233">
        <v>9.4183789378786802</v>
      </c>
      <c r="AD42" s="233">
        <v>15.9480010123679</v>
      </c>
      <c r="AE42" s="233">
        <v>76.580361769199996</v>
      </c>
      <c r="AF42" s="233">
        <v>16.6239040457511</v>
      </c>
      <c r="AG42" s="233">
        <v>53.924610444796201</v>
      </c>
      <c r="AH42" s="233">
        <v>64.822015318742601</v>
      </c>
      <c r="AI42" s="233">
        <v>68.805001917691499</v>
      </c>
      <c r="AJ42" s="233">
        <v>37.300706399045097</v>
      </c>
      <c r="AK42" s="233">
        <v>52.181097871940402</v>
      </c>
      <c r="AL42" s="233">
        <v>22.655751324403798</v>
      </c>
      <c r="AM42" s="233">
        <v>7.7753598515084796</v>
      </c>
    </row>
    <row r="43" spans="1:39">
      <c r="A43" s="236" t="s">
        <v>190</v>
      </c>
      <c r="B43" s="237">
        <v>174</v>
      </c>
      <c r="C43" s="236" t="s">
        <v>191</v>
      </c>
      <c r="D43" s="236" t="s">
        <v>192</v>
      </c>
      <c r="E43" s="236" t="s">
        <v>193</v>
      </c>
      <c r="F43" s="238">
        <v>438.65300000000008</v>
      </c>
      <c r="G43" s="238">
        <v>430.94199999999989</v>
      </c>
      <c r="H43" s="238">
        <f t="shared" si="0"/>
        <v>869.59500000000003</v>
      </c>
      <c r="I43" s="236">
        <v>6.33442293185818</v>
      </c>
      <c r="J43" s="236">
        <v>15.280864973598201</v>
      </c>
      <c r="K43" s="236">
        <v>40.635906462157401</v>
      </c>
      <c r="L43" s="236">
        <v>60.557958259994997</v>
      </c>
      <c r="M43" s="236">
        <v>15.9821473472467</v>
      </c>
      <c r="N43" s="236">
        <v>25.355041488559198</v>
      </c>
      <c r="O43" s="236">
        <v>59.364093537842599</v>
      </c>
      <c r="P43" s="236">
        <v>19.9220517978376</v>
      </c>
      <c r="Q43" s="236">
        <v>49.638923811918502</v>
      </c>
      <c r="R43" s="236">
        <v>55.127231581594202</v>
      </c>
      <c r="S43" s="236">
        <v>56.853407090771903</v>
      </c>
      <c r="T43" s="236">
        <v>29.716872014081002</v>
      </c>
      <c r="U43" s="236">
        <v>36.931355292934398</v>
      </c>
      <c r="V43" s="236">
        <v>37.995222529544897</v>
      </c>
      <c r="W43" s="236">
        <v>9.7251697259240597</v>
      </c>
      <c r="X43" s="236">
        <v>2.5106864470706598</v>
      </c>
      <c r="Y43" s="236">
        <v>6.2028179971031898</v>
      </c>
      <c r="Z43" s="236">
        <v>14.9746400732904</v>
      </c>
      <c r="AA43" s="236">
        <v>39.905162574787497</v>
      </c>
      <c r="AB43" s="236">
        <v>59.549509435121102</v>
      </c>
      <c r="AC43" s="236">
        <v>15.7039618807802</v>
      </c>
      <c r="AD43" s="236">
        <v>24.930522501496998</v>
      </c>
      <c r="AE43" s="236">
        <v>60.094837425212503</v>
      </c>
      <c r="AF43" s="236">
        <v>19.644346860333599</v>
      </c>
      <c r="AG43" s="236">
        <v>49.404515141744298</v>
      </c>
      <c r="AH43" s="236">
        <v>55.128539769790201</v>
      </c>
      <c r="AI43" s="236">
        <v>57.013516764165502</v>
      </c>
      <c r="AJ43" s="236">
        <v>29.760168281410699</v>
      </c>
      <c r="AK43" s="236">
        <v>37.369169903831903</v>
      </c>
      <c r="AL43" s="236">
        <v>10.6903222834682</v>
      </c>
      <c r="AM43" s="236">
        <v>3.0813206610470498</v>
      </c>
    </row>
    <row r="44" spans="1:39">
      <c r="A44" s="233" t="s">
        <v>194</v>
      </c>
      <c r="B44" s="234">
        <v>178</v>
      </c>
      <c r="C44" s="233" t="s">
        <v>195</v>
      </c>
      <c r="D44" s="233" t="s">
        <v>168</v>
      </c>
      <c r="E44" s="233" t="s">
        <v>169</v>
      </c>
      <c r="F44" s="235">
        <v>2756.6779999999994</v>
      </c>
      <c r="G44" s="235">
        <v>2761.4139999999993</v>
      </c>
      <c r="H44" s="235">
        <f t="shared" si="0"/>
        <v>5518.0919999999987</v>
      </c>
      <c r="I44" s="233">
        <v>6.8954446329052601</v>
      </c>
      <c r="J44" s="233">
        <v>16.576465090518901</v>
      </c>
      <c r="K44" s="233">
        <v>42.918065699747302</v>
      </c>
      <c r="L44" s="233">
        <v>61.513724947211699</v>
      </c>
      <c r="M44" s="233">
        <v>16.8766658589775</v>
      </c>
      <c r="N44" s="233">
        <v>26.341600609228401</v>
      </c>
      <c r="O44" s="233">
        <v>57.081934300252698</v>
      </c>
      <c r="P44" s="233">
        <v>18.5956592474644</v>
      </c>
      <c r="Q44" s="233">
        <v>46.926382013915301</v>
      </c>
      <c r="R44" s="233">
        <v>51.977828931427197</v>
      </c>
      <c r="S44" s="233">
        <v>53.747793277718202</v>
      </c>
      <c r="T44" s="233">
        <v>28.330722766450901</v>
      </c>
      <c r="U44" s="233">
        <v>35.152134030253698</v>
      </c>
      <c r="V44" s="233">
        <v>36.490446190591598</v>
      </c>
      <c r="W44" s="233">
        <v>10.1555522863374</v>
      </c>
      <c r="X44" s="233">
        <v>3.33414102253453</v>
      </c>
      <c r="Y44" s="233">
        <v>6.7601041048670298</v>
      </c>
      <c r="Z44" s="233">
        <v>16.280026502570099</v>
      </c>
      <c r="AA44" s="233">
        <v>42.343138995587204</v>
      </c>
      <c r="AB44" s="233">
        <v>60.847605891192202</v>
      </c>
      <c r="AC44" s="233">
        <v>16.673884142195799</v>
      </c>
      <c r="AD44" s="233">
        <v>26.063112493017101</v>
      </c>
      <c r="AE44" s="233">
        <v>57.656861004412796</v>
      </c>
      <c r="AF44" s="233">
        <v>18.504466895604999</v>
      </c>
      <c r="AG44" s="233">
        <v>46.487586663837398</v>
      </c>
      <c r="AH44" s="233">
        <v>51.720415206932202</v>
      </c>
      <c r="AI44" s="233">
        <v>53.669046990096199</v>
      </c>
      <c r="AJ44" s="233">
        <v>27.983119768232399</v>
      </c>
      <c r="AK44" s="233">
        <v>35.1645800944912</v>
      </c>
      <c r="AL44" s="233">
        <v>11.1692743405754</v>
      </c>
      <c r="AM44" s="233">
        <v>3.9878140143165801</v>
      </c>
    </row>
    <row r="45" spans="1:39">
      <c r="A45" s="236" t="s">
        <v>196</v>
      </c>
      <c r="B45" s="237">
        <v>184</v>
      </c>
      <c r="C45" s="236" t="s">
        <v>197</v>
      </c>
      <c r="D45" s="236" t="s">
        <v>198</v>
      </c>
      <c r="E45" s="236" t="s">
        <v>199</v>
      </c>
      <c r="F45" s="238"/>
      <c r="G45" s="238"/>
      <c r="H45" s="235">
        <f t="shared" si="0"/>
        <v>0</v>
      </c>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row>
    <row r="46" spans="1:39">
      <c r="A46" s="233" t="s">
        <v>200</v>
      </c>
      <c r="B46" s="234">
        <v>188</v>
      </c>
      <c r="C46" s="233" t="s">
        <v>201</v>
      </c>
      <c r="D46" s="233" t="s">
        <v>202</v>
      </c>
      <c r="E46" s="233" t="s">
        <v>203</v>
      </c>
      <c r="F46" s="235">
        <v>2545.076</v>
      </c>
      <c r="G46" s="235">
        <v>2549.0379999999991</v>
      </c>
      <c r="H46" s="235">
        <f t="shared" si="0"/>
        <v>5094.1139999999996</v>
      </c>
      <c r="I46" s="233">
        <v>2.9052875751648801</v>
      </c>
      <c r="J46" s="233">
        <v>7.4525731175263799</v>
      </c>
      <c r="K46" s="233">
        <v>22.808802163335098</v>
      </c>
      <c r="L46" s="233">
        <v>39.981251649834</v>
      </c>
      <c r="M46" s="233">
        <v>9.1893105304619098</v>
      </c>
      <c r="N46" s="233">
        <v>15.3562290458087</v>
      </c>
      <c r="O46" s="233">
        <v>77.191197836664898</v>
      </c>
      <c r="P46" s="233">
        <v>17.172449486498898</v>
      </c>
      <c r="Q46" s="233">
        <v>53.9979505683743</v>
      </c>
      <c r="R46" s="233">
        <v>65.133639154536695</v>
      </c>
      <c r="S46" s="233">
        <v>68.893743413654704</v>
      </c>
      <c r="T46" s="233">
        <v>36.825501081875402</v>
      </c>
      <c r="U46" s="233">
        <v>51.721293927155799</v>
      </c>
      <c r="V46" s="233">
        <v>54.839215229812801</v>
      </c>
      <c r="W46" s="233">
        <v>23.193247268290602</v>
      </c>
      <c r="X46" s="233">
        <v>8.2974544230101692</v>
      </c>
      <c r="Y46" s="233">
        <v>2.7749598822797301</v>
      </c>
      <c r="Z46" s="233">
        <v>7.1203281848058397</v>
      </c>
      <c r="AA46" s="233">
        <v>21.807847046898701</v>
      </c>
      <c r="AB46" s="233">
        <v>38.325816247312503</v>
      </c>
      <c r="AC46" s="233">
        <v>8.7855205729497303</v>
      </c>
      <c r="AD46" s="233">
        <v>14.687518862092899</v>
      </c>
      <c r="AE46" s="233">
        <v>78.192152953101299</v>
      </c>
      <c r="AF46" s="233">
        <v>16.517969200413798</v>
      </c>
      <c r="AG46" s="233">
        <v>53.221676681353898</v>
      </c>
      <c r="AH46" s="233">
        <v>64.731497457649994</v>
      </c>
      <c r="AI46" s="233">
        <v>68.6866988163451</v>
      </c>
      <c r="AJ46" s="233">
        <v>36.703707480940203</v>
      </c>
      <c r="AK46" s="233">
        <v>52.168729615931397</v>
      </c>
      <c r="AL46" s="233">
        <v>24.970476271747302</v>
      </c>
      <c r="AM46" s="233">
        <v>9.5054541367561605</v>
      </c>
    </row>
    <row r="47" spans="1:39">
      <c r="A47" s="236" t="s">
        <v>204</v>
      </c>
      <c r="B47" s="237">
        <v>384</v>
      </c>
      <c r="C47" s="236" t="s">
        <v>205</v>
      </c>
      <c r="D47" s="236" t="s">
        <v>123</v>
      </c>
      <c r="E47" s="236" t="s">
        <v>124</v>
      </c>
      <c r="F47" s="238">
        <v>13300.38</v>
      </c>
      <c r="G47" s="238">
        <v>13077.895</v>
      </c>
      <c r="H47" s="235">
        <f t="shared" si="0"/>
        <v>26378.275000000001</v>
      </c>
      <c r="I47" s="236">
        <v>6.7391184978132097</v>
      </c>
      <c r="J47" s="236">
        <v>15.981286928963501</v>
      </c>
      <c r="K47" s="236">
        <v>42.023361198889297</v>
      </c>
      <c r="L47" s="236">
        <v>62.132351603832802</v>
      </c>
      <c r="M47" s="236">
        <v>16.3076986501306</v>
      </c>
      <c r="N47" s="236">
        <v>26.042074269925699</v>
      </c>
      <c r="O47" s="236">
        <v>57.976638801110703</v>
      </c>
      <c r="P47" s="236">
        <v>20.108990404943501</v>
      </c>
      <c r="Q47" s="236">
        <v>47.146539012038097</v>
      </c>
      <c r="R47" s="236">
        <v>52.739128544448697</v>
      </c>
      <c r="S47" s="236">
        <v>54.7056881451607</v>
      </c>
      <c r="T47" s="236">
        <v>27.0375486070946</v>
      </c>
      <c r="U47" s="236">
        <v>34.596697740217202</v>
      </c>
      <c r="V47" s="236">
        <v>36.093906247916003</v>
      </c>
      <c r="W47" s="236">
        <v>10.8300997890726</v>
      </c>
      <c r="X47" s="236">
        <v>3.2709506559500299</v>
      </c>
      <c r="Y47" s="236">
        <v>6.8747948303431796</v>
      </c>
      <c r="Z47" s="236">
        <v>16.331486754130399</v>
      </c>
      <c r="AA47" s="236">
        <v>42.941070164929897</v>
      </c>
      <c r="AB47" s="236">
        <v>63.401318930505603</v>
      </c>
      <c r="AC47" s="236">
        <v>16.687655003378602</v>
      </c>
      <c r="AD47" s="236">
        <v>26.609583410799502</v>
      </c>
      <c r="AE47" s="236">
        <v>57.058929835070003</v>
      </c>
      <c r="AF47" s="236">
        <v>20.460248765575599</v>
      </c>
      <c r="AG47" s="236">
        <v>47.635199520375899</v>
      </c>
      <c r="AH47" s="236">
        <v>52.615046952140297</v>
      </c>
      <c r="AI47" s="236">
        <v>54.284596825824799</v>
      </c>
      <c r="AJ47" s="236">
        <v>27.1749507548002</v>
      </c>
      <c r="AK47" s="236">
        <v>33.8243480602492</v>
      </c>
      <c r="AL47" s="236">
        <v>9.4237303146941702</v>
      </c>
      <c r="AM47" s="236">
        <v>2.7743330092452099</v>
      </c>
    </row>
    <row r="48" spans="1:39">
      <c r="A48" s="233" t="s">
        <v>206</v>
      </c>
      <c r="B48" s="234">
        <v>191</v>
      </c>
      <c r="C48" s="233" t="s">
        <v>207</v>
      </c>
      <c r="D48" s="233" t="s">
        <v>208</v>
      </c>
      <c r="E48" s="233" t="s">
        <v>209</v>
      </c>
      <c r="F48" s="235">
        <v>1979.2920000000001</v>
      </c>
      <c r="G48" s="235">
        <v>2125.9759999999997</v>
      </c>
      <c r="H48" s="235">
        <f t="shared" si="0"/>
        <v>4105.268</v>
      </c>
      <c r="I48" s="233">
        <v>1.9536975919814199</v>
      </c>
      <c r="J48" s="233">
        <v>5.2112944627796098</v>
      </c>
      <c r="K48" s="233">
        <v>15.868377948906</v>
      </c>
      <c r="L48" s="233">
        <v>27.760567167827901</v>
      </c>
      <c r="M48" s="233">
        <v>6.5035081285906404</v>
      </c>
      <c r="N48" s="233">
        <v>10.6570834861264</v>
      </c>
      <c r="O48" s="233">
        <v>84.131622051093998</v>
      </c>
      <c r="P48" s="233">
        <v>11.892189218921899</v>
      </c>
      <c r="Q48" s="233">
        <v>46.918958562522903</v>
      </c>
      <c r="R48" s="233">
        <v>61.650262804058201</v>
      </c>
      <c r="S48" s="233">
        <v>68.634983498349797</v>
      </c>
      <c r="T48" s="233">
        <v>35.026769343601003</v>
      </c>
      <c r="U48" s="233">
        <v>56.742794279427898</v>
      </c>
      <c r="V48" s="233">
        <v>62.256496760787201</v>
      </c>
      <c r="W48" s="233">
        <v>37.212663488571103</v>
      </c>
      <c r="X48" s="233">
        <v>15.4966385527442</v>
      </c>
      <c r="Y48" s="233">
        <v>1.7204030674234501</v>
      </c>
      <c r="Z48" s="233">
        <v>4.5888804305289996</v>
      </c>
      <c r="AA48" s="233">
        <v>13.9796644020433</v>
      </c>
      <c r="AB48" s="233">
        <v>24.529729616453601</v>
      </c>
      <c r="AC48" s="233">
        <v>5.7280711704927496</v>
      </c>
      <c r="AD48" s="233">
        <v>9.3907839715143098</v>
      </c>
      <c r="AE48" s="233">
        <v>86.020335597956702</v>
      </c>
      <c r="AF48" s="233">
        <v>10.550065214410299</v>
      </c>
      <c r="AG48" s="233">
        <v>42.520934440725497</v>
      </c>
      <c r="AH48" s="233">
        <v>56.845736371600502</v>
      </c>
      <c r="AI48" s="233">
        <v>63.877640181370303</v>
      </c>
      <c r="AJ48" s="233">
        <v>31.970869226315202</v>
      </c>
      <c r="AK48" s="233">
        <v>53.32757496696</v>
      </c>
      <c r="AL48" s="233">
        <v>43.499401157231198</v>
      </c>
      <c r="AM48" s="233">
        <v>22.142695416586399</v>
      </c>
    </row>
    <row r="49" spans="1:39">
      <c r="A49" s="236" t="s">
        <v>210</v>
      </c>
      <c r="B49" s="237">
        <v>192</v>
      </c>
      <c r="C49" s="236" t="s">
        <v>211</v>
      </c>
      <c r="D49" s="236" t="s">
        <v>212</v>
      </c>
      <c r="E49" s="236" t="s">
        <v>213</v>
      </c>
      <c r="F49" s="238">
        <v>5623.4679999999998</v>
      </c>
      <c r="G49" s="238">
        <v>5703.148000000002</v>
      </c>
      <c r="H49" s="235">
        <f t="shared" si="0"/>
        <v>11326.616000000002</v>
      </c>
      <c r="I49" s="236">
        <v>2.10031838840729</v>
      </c>
      <c r="J49" s="236">
        <v>5.2770195853086204</v>
      </c>
      <c r="K49" s="236">
        <v>16.719550809847401</v>
      </c>
      <c r="L49" s="236">
        <v>29.644113834079398</v>
      </c>
      <c r="M49" s="236">
        <v>6.6712839801591803</v>
      </c>
      <c r="N49" s="236">
        <v>11.442531224538801</v>
      </c>
      <c r="O49" s="236">
        <v>83.280449190152595</v>
      </c>
      <c r="P49" s="236">
        <v>12.924563024232</v>
      </c>
      <c r="Q49" s="236">
        <v>50.3329464017636</v>
      </c>
      <c r="R49" s="236">
        <v>64.983951252913798</v>
      </c>
      <c r="S49" s="236">
        <v>70.342726298169396</v>
      </c>
      <c r="T49" s="236">
        <v>37.408383377531599</v>
      </c>
      <c r="U49" s="236">
        <v>57.418163273937402</v>
      </c>
      <c r="V49" s="236">
        <v>61.525352756109697</v>
      </c>
      <c r="W49" s="236">
        <v>32.947502788389002</v>
      </c>
      <c r="X49" s="236">
        <v>12.937722891983199</v>
      </c>
      <c r="Y49" s="236">
        <v>2.0050391522367401</v>
      </c>
      <c r="Z49" s="236">
        <v>5.04280456346756</v>
      </c>
      <c r="AA49" s="236">
        <v>15.8871448685692</v>
      </c>
      <c r="AB49" s="236">
        <v>27.951079994777398</v>
      </c>
      <c r="AC49" s="236">
        <v>6.3481849524138898</v>
      </c>
      <c r="AD49" s="236">
        <v>10.8443403051016</v>
      </c>
      <c r="AE49" s="236">
        <v>84.112855131430805</v>
      </c>
      <c r="AF49" s="236">
        <v>12.0639351262082</v>
      </c>
      <c r="AG49" s="236">
        <v>48.610351434993902</v>
      </c>
      <c r="AH49" s="236">
        <v>63.508897914821397</v>
      </c>
      <c r="AI49" s="236">
        <v>69.094964023699504</v>
      </c>
      <c r="AJ49" s="236">
        <v>36.546416308785702</v>
      </c>
      <c r="AK49" s="236">
        <v>57.031028897491403</v>
      </c>
      <c r="AL49" s="236">
        <v>35.502503696437003</v>
      </c>
      <c r="AM49" s="236">
        <v>15.0178911077313</v>
      </c>
    </row>
    <row r="50" spans="1:39">
      <c r="A50" s="233" t="s">
        <v>214</v>
      </c>
      <c r="B50" s="234">
        <v>196</v>
      </c>
      <c r="C50" s="233" t="s">
        <v>215</v>
      </c>
      <c r="D50" s="233" t="s">
        <v>216</v>
      </c>
      <c r="E50" s="233" t="s">
        <v>214</v>
      </c>
      <c r="F50" s="235">
        <v>603.51400000000001</v>
      </c>
      <c r="G50" s="235">
        <v>603.84699999999987</v>
      </c>
      <c r="H50" s="235">
        <f t="shared" si="0"/>
        <v>1207.3609999999999</v>
      </c>
      <c r="I50" s="233">
        <v>2.2531842312428099</v>
      </c>
      <c r="J50" s="233">
        <v>5.6993197553541499</v>
      </c>
      <c r="K50" s="233">
        <v>16.7701163346185</v>
      </c>
      <c r="L50" s="233">
        <v>31.9654427645788</v>
      </c>
      <c r="M50" s="233">
        <v>6.6537480739858603</v>
      </c>
      <c r="N50" s="233">
        <v>11.0707965792643</v>
      </c>
      <c r="O50" s="233">
        <v>83.229883665381607</v>
      </c>
      <c r="P50" s="233">
        <v>15.195326429960399</v>
      </c>
      <c r="Q50" s="233">
        <v>54.703175147857301</v>
      </c>
      <c r="R50" s="233">
        <v>66.865323671302605</v>
      </c>
      <c r="S50" s="233">
        <v>71.865054533955004</v>
      </c>
      <c r="T50" s="233">
        <v>39.507848717896998</v>
      </c>
      <c r="U50" s="233">
        <v>56.6697281039947</v>
      </c>
      <c r="V50" s="233">
        <v>60.683407009682199</v>
      </c>
      <c r="W50" s="233">
        <v>28.526708517524199</v>
      </c>
      <c r="X50" s="233">
        <v>11.3648291314265</v>
      </c>
      <c r="Y50" s="233">
        <v>2.2124777508374098</v>
      </c>
      <c r="Z50" s="233">
        <v>5.5692982579080903</v>
      </c>
      <c r="AA50" s="233">
        <v>16.322826589676399</v>
      </c>
      <c r="AB50" s="233">
        <v>30.971359896848</v>
      </c>
      <c r="AC50" s="233">
        <v>6.4492789169037597</v>
      </c>
      <c r="AD50" s="233">
        <v>10.753528331768299</v>
      </c>
      <c r="AE50" s="233">
        <v>83.677173410323604</v>
      </c>
      <c r="AF50" s="233">
        <v>14.648533307171601</v>
      </c>
      <c r="AG50" s="233">
        <v>51.719842749225698</v>
      </c>
      <c r="AH50" s="233">
        <v>64.029235750024498</v>
      </c>
      <c r="AI50" s="233">
        <v>69.289673585513896</v>
      </c>
      <c r="AJ50" s="233">
        <v>37.071309442054101</v>
      </c>
      <c r="AK50" s="233">
        <v>54.641140278342299</v>
      </c>
      <c r="AL50" s="233">
        <v>31.957330661097998</v>
      </c>
      <c r="AM50" s="233">
        <v>14.3874998248097</v>
      </c>
    </row>
    <row r="51" spans="1:39">
      <c r="A51" s="236" t="s">
        <v>217</v>
      </c>
      <c r="B51" s="237">
        <v>203</v>
      </c>
      <c r="C51" s="236" t="s">
        <v>218</v>
      </c>
      <c r="D51" s="236" t="s">
        <v>219</v>
      </c>
      <c r="E51" s="236" t="s">
        <v>220</v>
      </c>
      <c r="F51" s="238">
        <v>5272.5220000000018</v>
      </c>
      <c r="G51" s="238">
        <v>5436.4600000000009</v>
      </c>
      <c r="H51" s="235">
        <f t="shared" si="0"/>
        <v>10708.982000000004</v>
      </c>
      <c r="I51" s="236">
        <v>1.94694392948971</v>
      </c>
      <c r="J51" s="236">
        <v>5.3353750057673004</v>
      </c>
      <c r="K51" s="236">
        <v>15.7181557690277</v>
      </c>
      <c r="L51" s="236">
        <v>26.2198539130864</v>
      </c>
      <c r="M51" s="236">
        <v>6.6604543918061303</v>
      </c>
      <c r="N51" s="236">
        <v>10.382780763260399</v>
      </c>
      <c r="O51" s="236">
        <v>84.281844230972297</v>
      </c>
      <c r="P51" s="236">
        <v>10.5016981440588</v>
      </c>
      <c r="Q51" s="236">
        <v>49.441329619867801</v>
      </c>
      <c r="R51" s="236">
        <v>62.357031289363597</v>
      </c>
      <c r="S51" s="236">
        <v>69.045400378026002</v>
      </c>
      <c r="T51" s="236">
        <v>38.939631475809101</v>
      </c>
      <c r="U51" s="236">
        <v>58.543702233967203</v>
      </c>
      <c r="V51" s="236">
        <v>64.548952745205796</v>
      </c>
      <c r="W51" s="236">
        <v>34.840514611104403</v>
      </c>
      <c r="X51" s="236">
        <v>15.2364438529463</v>
      </c>
      <c r="Y51" s="236">
        <v>1.77676460283652</v>
      </c>
      <c r="Z51" s="236">
        <v>4.8764534219732898</v>
      </c>
      <c r="AA51" s="236">
        <v>14.388716715030901</v>
      </c>
      <c r="AB51" s="236">
        <v>24.038810252019399</v>
      </c>
      <c r="AC51" s="236">
        <v>6.1019343408192102</v>
      </c>
      <c r="AD51" s="236">
        <v>9.5122632930576394</v>
      </c>
      <c r="AE51" s="236">
        <v>85.611283284969105</v>
      </c>
      <c r="AF51" s="236">
        <v>9.6500935369884608</v>
      </c>
      <c r="AG51" s="236">
        <v>45.252697171179697</v>
      </c>
      <c r="AH51" s="236">
        <v>57.744103757533601</v>
      </c>
      <c r="AI51" s="236">
        <v>64.792670086194207</v>
      </c>
      <c r="AJ51" s="236">
        <v>35.602603634191198</v>
      </c>
      <c r="AK51" s="236">
        <v>55.142576549205799</v>
      </c>
      <c r="AL51" s="236">
        <v>40.3585861137894</v>
      </c>
      <c r="AM51" s="236">
        <v>20.818613198774798</v>
      </c>
    </row>
    <row r="52" spans="1:39">
      <c r="A52" s="233" t="s">
        <v>221</v>
      </c>
      <c r="B52" s="234">
        <v>408</v>
      </c>
      <c r="C52" s="233" t="s">
        <v>222</v>
      </c>
      <c r="D52" s="233" t="s">
        <v>223</v>
      </c>
      <c r="E52" s="233" t="s">
        <v>224</v>
      </c>
      <c r="F52" s="235">
        <v>12608.379000000003</v>
      </c>
      <c r="G52" s="235">
        <v>13170.435999999996</v>
      </c>
      <c r="H52" s="235">
        <f t="shared" si="0"/>
        <v>25778.814999999999</v>
      </c>
      <c r="I52" s="233">
        <v>3.0209843016525699</v>
      </c>
      <c r="J52" s="233">
        <v>7.2616747342998202</v>
      </c>
      <c r="K52" s="233">
        <v>22.109989734764099</v>
      </c>
      <c r="L52" s="233">
        <v>38.561587269221199</v>
      </c>
      <c r="M52" s="233">
        <v>8.5925211910535495</v>
      </c>
      <c r="N52" s="233">
        <v>14.848315000464201</v>
      </c>
      <c r="O52" s="233">
        <v>77.890010265235901</v>
      </c>
      <c r="P52" s="233">
        <v>16.4515975344572</v>
      </c>
      <c r="Q52" s="233">
        <v>55.804573843112102</v>
      </c>
      <c r="R52" s="233">
        <v>68.217183969190998</v>
      </c>
      <c r="S52" s="233">
        <v>71.000277566256102</v>
      </c>
      <c r="T52" s="233">
        <v>39.352976308655002</v>
      </c>
      <c r="U52" s="233">
        <v>54.548680031799002</v>
      </c>
      <c r="V52" s="233">
        <v>57.6094455780703</v>
      </c>
      <c r="W52" s="233">
        <v>22.085436422123799</v>
      </c>
      <c r="X52" s="233">
        <v>6.8897326989797998</v>
      </c>
      <c r="Y52" s="233">
        <v>2.7665169699844099</v>
      </c>
      <c r="Z52" s="233">
        <v>6.6448182578872004</v>
      </c>
      <c r="AA52" s="233">
        <v>20.265611330078301</v>
      </c>
      <c r="AB52" s="233">
        <v>35.341876828149999</v>
      </c>
      <c r="AC52" s="233">
        <v>7.8769708120639903</v>
      </c>
      <c r="AD52" s="233">
        <v>13.6207930721911</v>
      </c>
      <c r="AE52" s="233">
        <v>79.7343886699216</v>
      </c>
      <c r="AF52" s="233">
        <v>15.076265498071599</v>
      </c>
      <c r="AG52" s="233">
        <v>52.079813615145703</v>
      </c>
      <c r="AH52" s="233">
        <v>64.491992603039705</v>
      </c>
      <c r="AI52" s="233">
        <v>67.659799257145806</v>
      </c>
      <c r="AJ52" s="233">
        <v>37.003548117074097</v>
      </c>
      <c r="AK52" s="233">
        <v>52.5835337590742</v>
      </c>
      <c r="AL52" s="233">
        <v>27.654575054776</v>
      </c>
      <c r="AM52" s="233">
        <v>12.0745894127759</v>
      </c>
    </row>
    <row r="53" spans="1:39">
      <c r="A53" s="236" t="s">
        <v>225</v>
      </c>
      <c r="B53" s="237">
        <v>180</v>
      </c>
      <c r="C53" s="236" t="s">
        <v>226</v>
      </c>
      <c r="D53" s="236" t="s">
        <v>227</v>
      </c>
      <c r="E53" s="236" t="s">
        <v>228</v>
      </c>
      <c r="F53" s="238">
        <v>44710.171999999999</v>
      </c>
      <c r="G53" s="238">
        <v>44851.232000000004</v>
      </c>
      <c r="H53" s="235">
        <f t="shared" si="0"/>
        <v>89561.40400000001</v>
      </c>
      <c r="I53" s="236">
        <v>7.6510592766459302</v>
      </c>
      <c r="J53" s="236">
        <v>18.1798626039641</v>
      </c>
      <c r="K53" s="236">
        <v>46.482330077736997</v>
      </c>
      <c r="L53" s="236">
        <v>66.0574074754104</v>
      </c>
      <c r="M53" s="236">
        <v>18.126822538576199</v>
      </c>
      <c r="N53" s="236">
        <v>28.3024674737729</v>
      </c>
      <c r="O53" s="236">
        <v>53.517669922263003</v>
      </c>
      <c r="P53" s="236">
        <v>19.5750773976734</v>
      </c>
      <c r="Q53" s="236">
        <v>44.718365116152597</v>
      </c>
      <c r="R53" s="236">
        <v>49.317272004990002</v>
      </c>
      <c r="S53" s="236">
        <v>50.861742757239902</v>
      </c>
      <c r="T53" s="236">
        <v>25.143287718479201</v>
      </c>
      <c r="U53" s="236">
        <v>31.286665359566499</v>
      </c>
      <c r="V53" s="236">
        <v>32.448102133397697</v>
      </c>
      <c r="W53" s="236">
        <v>8.7993048061103707</v>
      </c>
      <c r="X53" s="236">
        <v>2.6559271650230398</v>
      </c>
      <c r="Y53" s="236">
        <v>7.4559300189377797</v>
      </c>
      <c r="Z53" s="236">
        <v>17.7372590917584</v>
      </c>
      <c r="AA53" s="236">
        <v>45.506074958694199</v>
      </c>
      <c r="AB53" s="236">
        <v>64.873171484691696</v>
      </c>
      <c r="AC53" s="236">
        <v>17.760523083799999</v>
      </c>
      <c r="AD53" s="236">
        <v>27.768815866935899</v>
      </c>
      <c r="AE53" s="236">
        <v>54.493925041305801</v>
      </c>
      <c r="AF53" s="236">
        <v>19.3670965259974</v>
      </c>
      <c r="AG53" s="236">
        <v>44.715894402904503</v>
      </c>
      <c r="AH53" s="236">
        <v>49.541007968801502</v>
      </c>
      <c r="AI53" s="236">
        <v>51.223574708717997</v>
      </c>
      <c r="AJ53" s="236">
        <v>25.348797876907099</v>
      </c>
      <c r="AK53" s="236">
        <v>31.856478182720501</v>
      </c>
      <c r="AL53" s="236">
        <v>9.7780306384012796</v>
      </c>
      <c r="AM53" s="236">
        <v>3.27035033258782</v>
      </c>
    </row>
    <row r="54" spans="1:39">
      <c r="A54" s="233" t="s">
        <v>229</v>
      </c>
      <c r="B54" s="234">
        <v>208</v>
      </c>
      <c r="C54" s="233" t="s">
        <v>230</v>
      </c>
      <c r="D54" s="233" t="s">
        <v>231</v>
      </c>
      <c r="E54" s="233" t="s">
        <v>232</v>
      </c>
      <c r="F54" s="235">
        <v>2879.3610000000008</v>
      </c>
      <c r="G54" s="235">
        <v>2912.8420000000006</v>
      </c>
      <c r="H54" s="235">
        <f t="shared" si="0"/>
        <v>5792.2030000000013</v>
      </c>
      <c r="I54" s="233">
        <v>1.95669471404573</v>
      </c>
      <c r="J54" s="233">
        <v>5.3692541638399502</v>
      </c>
      <c r="K54" s="233">
        <v>17.420055729906501</v>
      </c>
      <c r="L54" s="233">
        <v>30.9175178193906</v>
      </c>
      <c r="M54" s="233">
        <v>7.2645045415147296</v>
      </c>
      <c r="N54" s="233">
        <v>12.0508015660665</v>
      </c>
      <c r="O54" s="233">
        <v>82.579944270093506</v>
      </c>
      <c r="P54" s="233">
        <v>13.497462089484101</v>
      </c>
      <c r="Q54" s="233">
        <v>46.091568053067398</v>
      </c>
      <c r="R54" s="233">
        <v>59.378044008928399</v>
      </c>
      <c r="S54" s="233">
        <v>65.089808591474807</v>
      </c>
      <c r="T54" s="233">
        <v>32.594105963583303</v>
      </c>
      <c r="U54" s="233">
        <v>51.592346501990598</v>
      </c>
      <c r="V54" s="233">
        <v>58.212236342850098</v>
      </c>
      <c r="W54" s="233">
        <v>36.488376217026101</v>
      </c>
      <c r="X54" s="233">
        <v>17.490135678618799</v>
      </c>
      <c r="Y54" s="233">
        <v>1.8478175592752999</v>
      </c>
      <c r="Z54" s="233">
        <v>5.0290842659164898</v>
      </c>
      <c r="AA54" s="233">
        <v>16.349742500574401</v>
      </c>
      <c r="AB54" s="233">
        <v>29.082164452190302</v>
      </c>
      <c r="AC54" s="233">
        <v>6.7958553520092799</v>
      </c>
      <c r="AD54" s="233">
        <v>11.3206582346579</v>
      </c>
      <c r="AE54" s="233">
        <v>83.650257499425607</v>
      </c>
      <c r="AF54" s="233">
        <v>12.732421951615899</v>
      </c>
      <c r="AG54" s="233">
        <v>44.3896507086138</v>
      </c>
      <c r="AH54" s="233">
        <v>57.4615642179471</v>
      </c>
      <c r="AI54" s="233">
        <v>63.242727532544698</v>
      </c>
      <c r="AJ54" s="233">
        <v>31.657228756997899</v>
      </c>
      <c r="AK54" s="233">
        <v>50.510305580928801</v>
      </c>
      <c r="AL54" s="233">
        <v>39.260606790811799</v>
      </c>
      <c r="AM54" s="233">
        <v>20.407529966880901</v>
      </c>
    </row>
    <row r="55" spans="1:39">
      <c r="A55" s="236" t="s">
        <v>233</v>
      </c>
      <c r="B55" s="237">
        <v>262</v>
      </c>
      <c r="C55" s="236" t="s">
        <v>234</v>
      </c>
      <c r="D55" s="236" t="s">
        <v>235</v>
      </c>
      <c r="E55" s="236" t="s">
        <v>236</v>
      </c>
      <c r="F55" s="238">
        <v>518.99300000000005</v>
      </c>
      <c r="G55" s="238">
        <v>469.00900000000001</v>
      </c>
      <c r="H55" s="235">
        <f t="shared" si="0"/>
        <v>988.00200000000007</v>
      </c>
      <c r="I55" s="236">
        <v>4.7608794146805398</v>
      </c>
      <c r="J55" s="236">
        <v>11.6056809362958</v>
      </c>
      <c r="K55" s="236">
        <v>33.019320745914499</v>
      </c>
      <c r="L55" s="236">
        <v>53.263712256808503</v>
      </c>
      <c r="M55" s="236">
        <v>13.0364568613993</v>
      </c>
      <c r="N55" s="236">
        <v>21.413639809618701</v>
      </c>
      <c r="O55" s="236">
        <v>66.980679254085501</v>
      </c>
      <c r="P55" s="236">
        <v>20.244391510894001</v>
      </c>
      <c r="Q55" s="236">
        <v>54.1889279161676</v>
      </c>
      <c r="R55" s="236">
        <v>61.164941840382902</v>
      </c>
      <c r="S55" s="236">
        <v>63.112492766495798</v>
      </c>
      <c r="T55" s="236">
        <v>33.944536405273602</v>
      </c>
      <c r="U55" s="236">
        <v>42.8681012556018</v>
      </c>
      <c r="V55" s="236">
        <v>44.524517654236298</v>
      </c>
      <c r="W55" s="236">
        <v>12.7917513379179</v>
      </c>
      <c r="X55" s="236">
        <v>3.86818648758977</v>
      </c>
      <c r="Y55" s="236">
        <v>4.6622430257522902</v>
      </c>
      <c r="Z55" s="236">
        <v>11.3820899101622</v>
      </c>
      <c r="AA55" s="236">
        <v>32.449057619695097</v>
      </c>
      <c r="AB55" s="236">
        <v>52.413810266074499</v>
      </c>
      <c r="AC55" s="236">
        <v>12.8245618401019</v>
      </c>
      <c r="AD55" s="236">
        <v>21.066967709532801</v>
      </c>
      <c r="AE55" s="236">
        <v>67.550942380304903</v>
      </c>
      <c r="AF55" s="236">
        <v>19.964752646379502</v>
      </c>
      <c r="AG55" s="236">
        <v>53.990665559625299</v>
      </c>
      <c r="AH55" s="236">
        <v>60.824534691947598</v>
      </c>
      <c r="AI55" s="236">
        <v>63.043217599243498</v>
      </c>
      <c r="AJ55" s="236">
        <v>34.025912913245797</v>
      </c>
      <c r="AK55" s="236">
        <v>43.078464952864003</v>
      </c>
      <c r="AL55" s="236">
        <v>13.5602768206797</v>
      </c>
      <c r="AM55" s="236">
        <v>4.5077247810614498</v>
      </c>
    </row>
    <row r="56" spans="1:39">
      <c r="A56" s="236" t="s">
        <v>237</v>
      </c>
      <c r="B56" s="237">
        <v>214</v>
      </c>
      <c r="C56" s="236" t="s">
        <v>238</v>
      </c>
      <c r="D56" s="236" t="s">
        <v>239</v>
      </c>
      <c r="E56" s="236" t="s">
        <v>240</v>
      </c>
      <c r="F56" s="238">
        <v>5418.206000000001</v>
      </c>
      <c r="G56" s="238">
        <v>5429.6980000000003</v>
      </c>
      <c r="H56" s="235">
        <f t="shared" si="0"/>
        <v>10847.904000000002</v>
      </c>
      <c r="I56" s="236">
        <v>4.12546463086864</v>
      </c>
      <c r="J56" s="236">
        <v>10.332532738605799</v>
      </c>
      <c r="K56" s="236">
        <v>30.6153142334305</v>
      </c>
      <c r="L56" s="236">
        <v>49.029526696021797</v>
      </c>
      <c r="M56" s="236">
        <v>12.320295076342401</v>
      </c>
      <c r="N56" s="236">
        <v>20.2827814948247</v>
      </c>
      <c r="O56" s="236">
        <v>69.384685766569405</v>
      </c>
      <c r="P56" s="236">
        <v>18.414212462591301</v>
      </c>
      <c r="Q56" s="236">
        <v>51.506928956748801</v>
      </c>
      <c r="R56" s="236">
        <v>60.057623758601601</v>
      </c>
      <c r="S56" s="236">
        <v>63.067974304721602</v>
      </c>
      <c r="T56" s="236">
        <v>33.0927164941576</v>
      </c>
      <c r="U56" s="236">
        <v>44.653761842130301</v>
      </c>
      <c r="V56" s="236">
        <v>46.824536322220297</v>
      </c>
      <c r="W56" s="236">
        <v>17.8777568098206</v>
      </c>
      <c r="X56" s="236">
        <v>6.3167114618478504</v>
      </c>
      <c r="Y56" s="236">
        <v>3.93041579875096</v>
      </c>
      <c r="Z56" s="236">
        <v>9.8473938675472503</v>
      </c>
      <c r="AA56" s="236">
        <v>29.306867039320601</v>
      </c>
      <c r="AB56" s="236">
        <v>47.327059414182202</v>
      </c>
      <c r="AC56" s="236">
        <v>11.7870825367251</v>
      </c>
      <c r="AD56" s="236">
        <v>19.4594731717734</v>
      </c>
      <c r="AE56" s="236">
        <v>70.693132960679407</v>
      </c>
      <c r="AF56" s="236">
        <v>18.020192374861601</v>
      </c>
      <c r="AG56" s="236">
        <v>51.833399560910202</v>
      </c>
      <c r="AH56" s="236">
        <v>60.593518986364103</v>
      </c>
      <c r="AI56" s="236">
        <v>63.706827208118597</v>
      </c>
      <c r="AJ56" s="236">
        <v>33.813207186048601</v>
      </c>
      <c r="AK56" s="236">
        <v>45.686634833257003</v>
      </c>
      <c r="AL56" s="236">
        <v>18.859733399769201</v>
      </c>
      <c r="AM56" s="236">
        <v>6.9863057525607699</v>
      </c>
    </row>
    <row r="57" spans="1:39">
      <c r="A57" s="233" t="s">
        <v>241</v>
      </c>
      <c r="B57" s="234">
        <v>218</v>
      </c>
      <c r="C57" s="233" t="s">
        <v>242</v>
      </c>
      <c r="D57" s="233" t="s">
        <v>243</v>
      </c>
      <c r="E57" s="233" t="s">
        <v>244</v>
      </c>
      <c r="F57" s="235">
        <v>8823.827000000003</v>
      </c>
      <c r="G57" s="235">
        <v>8819.2329999999984</v>
      </c>
      <c r="H57" s="235">
        <f t="shared" si="0"/>
        <v>17643.060000000001</v>
      </c>
      <c r="I57" s="233">
        <v>4.0889900018138903</v>
      </c>
      <c r="J57" s="233">
        <v>10.2072539630463</v>
      </c>
      <c r="K57" s="233">
        <v>29.653488065514001</v>
      </c>
      <c r="L57" s="233">
        <v>48.148112813874398</v>
      </c>
      <c r="M57" s="233">
        <v>11.858040030409899</v>
      </c>
      <c r="N57" s="233">
        <v>19.446234102467798</v>
      </c>
      <c r="O57" s="233">
        <v>70.346511934486003</v>
      </c>
      <c r="P57" s="233">
        <v>18.494624748360302</v>
      </c>
      <c r="Q57" s="233">
        <v>52.704600037863699</v>
      </c>
      <c r="R57" s="233">
        <v>61.036339198896201</v>
      </c>
      <c r="S57" s="233">
        <v>64.152136570841193</v>
      </c>
      <c r="T57" s="233">
        <v>34.209975289503298</v>
      </c>
      <c r="U57" s="233">
        <v>45.657511822480899</v>
      </c>
      <c r="V57" s="233">
        <v>47.809805497763399</v>
      </c>
      <c r="W57" s="233">
        <v>17.6419118966223</v>
      </c>
      <c r="X57" s="233">
        <v>6.1943753636447401</v>
      </c>
      <c r="Y57" s="233">
        <v>3.9013047825925899</v>
      </c>
      <c r="Z57" s="233">
        <v>9.7419778457356792</v>
      </c>
      <c r="AA57" s="233">
        <v>28.385236320369199</v>
      </c>
      <c r="AB57" s="233">
        <v>46.322290305363403</v>
      </c>
      <c r="AC57" s="233">
        <v>11.348619690661801</v>
      </c>
      <c r="AD57" s="233">
        <v>18.643258474633502</v>
      </c>
      <c r="AE57" s="233">
        <v>71.614763679630798</v>
      </c>
      <c r="AF57" s="233">
        <v>17.937053984994201</v>
      </c>
      <c r="AG57" s="233">
        <v>52.366287932603498</v>
      </c>
      <c r="AH57" s="233">
        <v>61.074128432503201</v>
      </c>
      <c r="AI57" s="233">
        <v>64.400897328341202</v>
      </c>
      <c r="AJ57" s="233">
        <v>34.429233947609298</v>
      </c>
      <c r="AK57" s="233">
        <v>46.463843343347001</v>
      </c>
      <c r="AL57" s="233">
        <v>19.2484757470273</v>
      </c>
      <c r="AM57" s="233">
        <v>7.2138663512896004</v>
      </c>
    </row>
    <row r="58" spans="1:39">
      <c r="A58" s="236" t="s">
        <v>245</v>
      </c>
      <c r="B58" s="237">
        <v>818</v>
      </c>
      <c r="C58" s="236" t="s">
        <v>246</v>
      </c>
      <c r="D58" s="236" t="s">
        <v>247</v>
      </c>
      <c r="E58" s="236" t="s">
        <v>248</v>
      </c>
      <c r="F58" s="238">
        <v>51702.862000000008</v>
      </c>
      <c r="G58" s="238">
        <v>50631.54099999999</v>
      </c>
      <c r="H58" s="235">
        <f t="shared" si="0"/>
        <v>102334.40299999999</v>
      </c>
      <c r="I58" s="236">
        <v>5.92747427467138</v>
      </c>
      <c r="J58" s="236">
        <v>13.5074962554406</v>
      </c>
      <c r="K58" s="236">
        <v>33.8047016008938</v>
      </c>
      <c r="L58" s="236">
        <v>51.3171658042899</v>
      </c>
      <c r="M58" s="236">
        <v>12.655246210999</v>
      </c>
      <c r="N58" s="236">
        <v>20.2972053454532</v>
      </c>
      <c r="O58" s="236">
        <v>66.195298399106306</v>
      </c>
      <c r="P58" s="236">
        <v>17.5124642033961</v>
      </c>
      <c r="Q58" s="236">
        <v>51.327613373753998</v>
      </c>
      <c r="R58" s="236">
        <v>59.0483001668238</v>
      </c>
      <c r="S58" s="236">
        <v>61.677995139317503</v>
      </c>
      <c r="T58" s="236">
        <v>33.815149170357898</v>
      </c>
      <c r="U58" s="236">
        <v>44.165530935921403</v>
      </c>
      <c r="V58" s="236">
        <v>46.2326055861949</v>
      </c>
      <c r="W58" s="236">
        <v>14.8676850253523</v>
      </c>
      <c r="X58" s="236">
        <v>4.5173032597887302</v>
      </c>
      <c r="Y58" s="236">
        <v>5.6853364467846204</v>
      </c>
      <c r="Z58" s="236">
        <v>12.9676494903735</v>
      </c>
      <c r="AA58" s="236">
        <v>32.502010706803901</v>
      </c>
      <c r="AB58" s="236">
        <v>49.613529869798398</v>
      </c>
      <c r="AC58" s="236">
        <v>12.1710786754978</v>
      </c>
      <c r="AD58" s="236">
        <v>19.534361216430302</v>
      </c>
      <c r="AE58" s="236">
        <v>67.497989293196099</v>
      </c>
      <c r="AF58" s="236">
        <v>17.1115191629946</v>
      </c>
      <c r="AG58" s="236">
        <v>51.0077104928586</v>
      </c>
      <c r="AH58" s="236">
        <v>58.809942125575503</v>
      </c>
      <c r="AI58" s="236">
        <v>61.559664311372501</v>
      </c>
      <c r="AJ58" s="236">
        <v>33.896191329864102</v>
      </c>
      <c r="AK58" s="236">
        <v>44.448145148377897</v>
      </c>
      <c r="AL58" s="236">
        <v>16.490278800337499</v>
      </c>
      <c r="AM58" s="236">
        <v>5.9383249818236701</v>
      </c>
    </row>
    <row r="59" spans="1:39">
      <c r="A59" s="233" t="s">
        <v>249</v>
      </c>
      <c r="B59" s="234">
        <v>222</v>
      </c>
      <c r="C59" s="233" t="s">
        <v>250</v>
      </c>
      <c r="D59" s="233" t="s">
        <v>243</v>
      </c>
      <c r="E59" s="233" t="s">
        <v>244</v>
      </c>
      <c r="F59" s="235">
        <v>3036.4239999999995</v>
      </c>
      <c r="G59" s="235">
        <v>3449.7770000000005</v>
      </c>
      <c r="H59" s="235">
        <f t="shared" si="0"/>
        <v>6486.201</v>
      </c>
      <c r="I59" s="233">
        <v>3.6828217182490102</v>
      </c>
      <c r="J59" s="233">
        <v>9.2491725041483495</v>
      </c>
      <c r="K59" s="233">
        <v>29.4161428555032</v>
      </c>
      <c r="L59" s="233">
        <v>50.713905373497397</v>
      </c>
      <c r="M59" s="233">
        <v>11.726182257417699</v>
      </c>
      <c r="N59" s="233">
        <v>20.166970351354902</v>
      </c>
      <c r="O59" s="233">
        <v>70.583857144496804</v>
      </c>
      <c r="P59" s="233">
        <v>21.297762517994101</v>
      </c>
      <c r="Q59" s="233">
        <v>52.287477814903198</v>
      </c>
      <c r="R59" s="233">
        <v>60.069155942058401</v>
      </c>
      <c r="S59" s="233">
        <v>63.073877981011002</v>
      </c>
      <c r="T59" s="233">
        <v>30.989715296909001</v>
      </c>
      <c r="U59" s="233">
        <v>41.776115463016801</v>
      </c>
      <c r="V59" s="233">
        <v>44.140647688315497</v>
      </c>
      <c r="W59" s="233">
        <v>18.296379329593599</v>
      </c>
      <c r="X59" s="233">
        <v>7.5099791634857702</v>
      </c>
      <c r="Y59" s="233">
        <v>3.1038568074352102</v>
      </c>
      <c r="Z59" s="233">
        <v>7.8105594551419104</v>
      </c>
      <c r="AA59" s="233">
        <v>24.917249554184099</v>
      </c>
      <c r="AB59" s="233">
        <v>44.253265267080501</v>
      </c>
      <c r="AC59" s="233">
        <v>9.9133834582766092</v>
      </c>
      <c r="AD59" s="233">
        <v>17.106690099042201</v>
      </c>
      <c r="AE59" s="233">
        <v>75.082750445815904</v>
      </c>
      <c r="AF59" s="233">
        <v>19.336015712896401</v>
      </c>
      <c r="AG59" s="233">
        <v>53.636990510380002</v>
      </c>
      <c r="AH59" s="233">
        <v>62.764852174886499</v>
      </c>
      <c r="AI59" s="233">
        <v>66.325689515283202</v>
      </c>
      <c r="AJ59" s="233">
        <v>34.300974797483597</v>
      </c>
      <c r="AK59" s="233">
        <v>46.989673802386797</v>
      </c>
      <c r="AL59" s="233">
        <v>21.445759935435898</v>
      </c>
      <c r="AM59" s="233">
        <v>8.7570609305326794</v>
      </c>
    </row>
    <row r="60" spans="1:39">
      <c r="A60" s="236" t="s">
        <v>251</v>
      </c>
      <c r="B60" s="237">
        <v>226</v>
      </c>
      <c r="C60" s="236" t="s">
        <v>252</v>
      </c>
      <c r="D60" s="236" t="s">
        <v>168</v>
      </c>
      <c r="E60" s="236" t="s">
        <v>169</v>
      </c>
      <c r="F60" s="238">
        <v>780.38000000000011</v>
      </c>
      <c r="G60" s="238">
        <v>622.6049999999999</v>
      </c>
      <c r="H60" s="235">
        <f t="shared" si="0"/>
        <v>1402.9850000000001</v>
      </c>
      <c r="I60" s="236">
        <v>6.2345014846250102</v>
      </c>
      <c r="J60" s="236">
        <v>14.9379135823563</v>
      </c>
      <c r="K60" s="236">
        <v>38.601635627306003</v>
      </c>
      <c r="L60" s="236">
        <v>57.2598855707379</v>
      </c>
      <c r="M60" s="236">
        <v>15.0842980702184</v>
      </c>
      <c r="N60" s="236">
        <v>23.663722044949701</v>
      </c>
      <c r="O60" s="236">
        <v>61.398364372693997</v>
      </c>
      <c r="P60" s="236">
        <v>18.658249943431901</v>
      </c>
      <c r="Q60" s="236">
        <v>47.403868798862199</v>
      </c>
      <c r="R60" s="236">
        <v>56.072878233042303</v>
      </c>
      <c r="S60" s="236">
        <v>58.461439001075902</v>
      </c>
      <c r="T60" s="236">
        <v>28.745618855430301</v>
      </c>
      <c r="U60" s="236">
        <v>39.803189057644097</v>
      </c>
      <c r="V60" s="236">
        <v>41.034065563626498</v>
      </c>
      <c r="W60" s="236">
        <v>13.9944955738318</v>
      </c>
      <c r="X60" s="236">
        <v>2.9369253716180301</v>
      </c>
      <c r="Y60" s="236">
        <v>6.4266884166678802</v>
      </c>
      <c r="Z60" s="236">
        <v>15.419440034567</v>
      </c>
      <c r="AA60" s="236">
        <v>39.953975443860202</v>
      </c>
      <c r="AB60" s="236">
        <v>59.2867164780534</v>
      </c>
      <c r="AC60" s="236">
        <v>15.6291721891279</v>
      </c>
      <c r="AD60" s="236">
        <v>24.534535409293301</v>
      </c>
      <c r="AE60" s="236">
        <v>60.046024556139798</v>
      </c>
      <c r="AF60" s="236">
        <v>19.332741034193099</v>
      </c>
      <c r="AG60" s="236">
        <v>47.167887676779401</v>
      </c>
      <c r="AH60" s="236">
        <v>55.168780980400697</v>
      </c>
      <c r="AI60" s="236">
        <v>57.213669487369899</v>
      </c>
      <c r="AJ60" s="236">
        <v>27.835146642586299</v>
      </c>
      <c r="AK60" s="236">
        <v>37.8809284531768</v>
      </c>
      <c r="AL60" s="236">
        <v>12.8781368793603</v>
      </c>
      <c r="AM60" s="236">
        <v>2.83235506876981</v>
      </c>
    </row>
    <row r="61" spans="1:39">
      <c r="A61" s="233" t="s">
        <v>253</v>
      </c>
      <c r="B61" s="234">
        <v>232</v>
      </c>
      <c r="C61" s="233" t="s">
        <v>254</v>
      </c>
      <c r="D61" s="233" t="s">
        <v>255</v>
      </c>
      <c r="E61" s="233" t="s">
        <v>256</v>
      </c>
      <c r="F61" s="235">
        <v>1777.5480000000002</v>
      </c>
      <c r="G61" s="235">
        <v>1768.8789999999999</v>
      </c>
      <c r="H61" s="235">
        <f t="shared" si="0"/>
        <v>3546.4270000000001</v>
      </c>
      <c r="I61" s="233">
        <v>6.34597033880992</v>
      </c>
      <c r="J61" s="233">
        <v>15.900151326368199</v>
      </c>
      <c r="K61" s="233">
        <v>43.617582268200103</v>
      </c>
      <c r="L61" s="233">
        <v>62.938939065839399</v>
      </c>
      <c r="M61" s="233">
        <v>17.7311125561937</v>
      </c>
      <c r="N61" s="233">
        <v>27.7174309418319</v>
      </c>
      <c r="O61" s="233">
        <v>56.382417731799897</v>
      </c>
      <c r="P61" s="233">
        <v>19.3213567976393</v>
      </c>
      <c r="Q61" s="233">
        <v>48.584203024007202</v>
      </c>
      <c r="R61" s="233">
        <v>52.828481890667</v>
      </c>
      <c r="S61" s="233">
        <v>54.256784389136698</v>
      </c>
      <c r="T61" s="233">
        <v>29.262846226367898</v>
      </c>
      <c r="U61" s="233">
        <v>34.935427591497501</v>
      </c>
      <c r="V61" s="233">
        <v>36.037555515928197</v>
      </c>
      <c r="W61" s="233">
        <v>7.7982147077927202</v>
      </c>
      <c r="X61" s="233">
        <v>2.12563334266315</v>
      </c>
      <c r="Y61" s="233">
        <v>6.09226400832826</v>
      </c>
      <c r="Z61" s="233">
        <v>15.2688363278992</v>
      </c>
      <c r="AA61" s="233">
        <v>41.949667068872202</v>
      </c>
      <c r="AB61" s="233">
        <v>60.908918077324699</v>
      </c>
      <c r="AC61" s="233">
        <v>17.0472159659756</v>
      </c>
      <c r="AD61" s="233">
        <v>26.680830740973001</v>
      </c>
      <c r="AE61" s="233">
        <v>58.050332931127798</v>
      </c>
      <c r="AF61" s="233">
        <v>18.959251008452501</v>
      </c>
      <c r="AG61" s="233">
        <v>48.654630142110904</v>
      </c>
      <c r="AH61" s="233">
        <v>53.243261268526602</v>
      </c>
      <c r="AI61" s="233">
        <v>54.911289914555603</v>
      </c>
      <c r="AJ61" s="233">
        <v>29.695379133658498</v>
      </c>
      <c r="AK61" s="233">
        <v>35.952038906103098</v>
      </c>
      <c r="AL61" s="233">
        <v>9.3957027890168696</v>
      </c>
      <c r="AM61" s="233">
        <v>3.1390430165722001</v>
      </c>
    </row>
    <row r="62" spans="1:39">
      <c r="A62" s="236" t="s">
        <v>257</v>
      </c>
      <c r="B62" s="237">
        <v>233</v>
      </c>
      <c r="C62" s="236" t="s">
        <v>258</v>
      </c>
      <c r="D62" s="236" t="s">
        <v>259</v>
      </c>
      <c r="E62" s="236" t="s">
        <v>260</v>
      </c>
      <c r="F62" s="238">
        <v>628.45600000000013</v>
      </c>
      <c r="G62" s="238">
        <v>698.08299999999997</v>
      </c>
      <c r="H62" s="235">
        <f t="shared" si="0"/>
        <v>1326.5390000000002</v>
      </c>
      <c r="I62" s="236">
        <v>2.1272370335884698</v>
      </c>
      <c r="J62" s="236">
        <v>5.9938012560270097</v>
      </c>
      <c r="K62" s="236">
        <v>17.664141373034798</v>
      </c>
      <c r="L62" s="236">
        <v>29.030730012794699</v>
      </c>
      <c r="M62" s="236">
        <v>7.6234132810694204</v>
      </c>
      <c r="N62" s="236">
        <v>11.6703401170078</v>
      </c>
      <c r="O62" s="236">
        <v>82.335858626965205</v>
      </c>
      <c r="P62" s="236">
        <v>11.3665886397599</v>
      </c>
      <c r="Q62" s="236">
        <v>48.999540954359098</v>
      </c>
      <c r="R62" s="236">
        <v>62.885346025999603</v>
      </c>
      <c r="S62" s="236">
        <v>68.8426840821855</v>
      </c>
      <c r="T62" s="236">
        <v>37.632952314599301</v>
      </c>
      <c r="U62" s="236">
        <v>57.476095442425603</v>
      </c>
      <c r="V62" s="236">
        <v>61.797310187883099</v>
      </c>
      <c r="W62" s="236">
        <v>33.336317672606</v>
      </c>
      <c r="X62" s="236">
        <v>13.4931745447797</v>
      </c>
      <c r="Y62" s="236">
        <v>1.8228689275893699</v>
      </c>
      <c r="Z62" s="236">
        <v>5.0330831805682896</v>
      </c>
      <c r="AA62" s="236">
        <v>14.700962419798399</v>
      </c>
      <c r="AB62" s="236">
        <v>24.076392071493999</v>
      </c>
      <c r="AC62" s="236">
        <v>6.2806484876260296</v>
      </c>
      <c r="AD62" s="236">
        <v>9.6678792392300608</v>
      </c>
      <c r="AE62" s="236">
        <v>85.299037580201599</v>
      </c>
      <c r="AF62" s="236">
        <v>9.3754296516956899</v>
      </c>
      <c r="AG62" s="236">
        <v>41.306427589367601</v>
      </c>
      <c r="AH62" s="236">
        <v>55.005728689275898</v>
      </c>
      <c r="AI62" s="236">
        <v>61.905791704857897</v>
      </c>
      <c r="AJ62" s="236">
        <v>31.930997937671901</v>
      </c>
      <c r="AK62" s="236">
        <v>52.5303620531622</v>
      </c>
      <c r="AL62" s="236">
        <v>43.992609990834097</v>
      </c>
      <c r="AM62" s="236">
        <v>23.393245875343698</v>
      </c>
    </row>
    <row r="63" spans="1:39">
      <c r="A63" s="233" t="s">
        <v>261</v>
      </c>
      <c r="B63" s="234">
        <v>231</v>
      </c>
      <c r="C63" s="233" t="s">
        <v>262</v>
      </c>
      <c r="D63" s="233" t="s">
        <v>263</v>
      </c>
      <c r="E63" s="233" t="s">
        <v>264</v>
      </c>
      <c r="F63" s="235">
        <v>57516.835000000014</v>
      </c>
      <c r="G63" s="235">
        <v>57446.748000000007</v>
      </c>
      <c r="H63" s="235">
        <f t="shared" si="0"/>
        <v>114963.58300000001</v>
      </c>
      <c r="I63" s="233">
        <v>6.1558054065534398</v>
      </c>
      <c r="J63" s="233">
        <v>14.9183700863966</v>
      </c>
      <c r="K63" s="233">
        <v>41.994685049437301</v>
      </c>
      <c r="L63" s="233">
        <v>63.809621874353098</v>
      </c>
      <c r="M63" s="233">
        <v>16.574089810533302</v>
      </c>
      <c r="N63" s="233">
        <v>27.076314963040598</v>
      </c>
      <c r="O63" s="233">
        <v>58.005314950562699</v>
      </c>
      <c r="P63" s="233">
        <v>21.814936824915801</v>
      </c>
      <c r="Q63" s="233">
        <v>48.567539364070598</v>
      </c>
      <c r="R63" s="233">
        <v>53.100426464801899</v>
      </c>
      <c r="S63" s="233">
        <v>54.768616049662199</v>
      </c>
      <c r="T63" s="233">
        <v>26.752602539154701</v>
      </c>
      <c r="U63" s="233">
        <v>32.953679224746402</v>
      </c>
      <c r="V63" s="233">
        <v>34.268634706073598</v>
      </c>
      <c r="W63" s="233">
        <v>9.43777558649216</v>
      </c>
      <c r="X63" s="233">
        <v>3.2366989009005098</v>
      </c>
      <c r="Y63" s="233">
        <v>5.9601283880472096</v>
      </c>
      <c r="Z63" s="233">
        <v>14.4648170939964</v>
      </c>
      <c r="AA63" s="233">
        <v>40.887725058879901</v>
      </c>
      <c r="AB63" s="233">
        <v>62.245691257033798</v>
      </c>
      <c r="AC63" s="233">
        <v>16.154640228692699</v>
      </c>
      <c r="AD63" s="233">
        <v>26.4229079648835</v>
      </c>
      <c r="AE63" s="233">
        <v>59.112274941120099</v>
      </c>
      <c r="AF63" s="233">
        <v>21.357966198153999</v>
      </c>
      <c r="AG63" s="233">
        <v>48.416312197589598</v>
      </c>
      <c r="AH63" s="233">
        <v>53.5448799241044</v>
      </c>
      <c r="AI63" s="233">
        <v>55.382064196474303</v>
      </c>
      <c r="AJ63" s="233">
        <v>27.058345999435701</v>
      </c>
      <c r="AK63" s="233">
        <v>34.0240979983203</v>
      </c>
      <c r="AL63" s="233">
        <v>10.695962743530499</v>
      </c>
      <c r="AM63" s="233">
        <v>3.7302107446458899</v>
      </c>
    </row>
    <row r="64" spans="1:39">
      <c r="A64" s="233" t="s">
        <v>265</v>
      </c>
      <c r="B64" s="234">
        <v>242</v>
      </c>
      <c r="C64" s="233" t="s">
        <v>266</v>
      </c>
      <c r="D64" s="233" t="s">
        <v>267</v>
      </c>
      <c r="E64" s="233" t="s">
        <v>268</v>
      </c>
      <c r="F64" s="235">
        <v>454.0179999999998</v>
      </c>
      <c r="G64" s="235">
        <v>442.42600000000004</v>
      </c>
      <c r="H64" s="235">
        <f t="shared" si="0"/>
        <v>896.44399999999985</v>
      </c>
      <c r="I64" s="233">
        <v>3.8805009401997701</v>
      </c>
      <c r="J64" s="233">
        <v>9.9771398086974497</v>
      </c>
      <c r="K64" s="233">
        <v>29.156774177903898</v>
      </c>
      <c r="L64" s="233">
        <v>46.555209456227203</v>
      </c>
      <c r="M64" s="233">
        <v>11.9128711474405</v>
      </c>
      <c r="N64" s="233">
        <v>19.179634369206401</v>
      </c>
      <c r="O64" s="233">
        <v>70.843225822096102</v>
      </c>
      <c r="P64" s="233">
        <v>17.398435278323401</v>
      </c>
      <c r="Q64" s="233">
        <v>52.091696481911299</v>
      </c>
      <c r="R64" s="233">
        <v>62.3108853749887</v>
      </c>
      <c r="S64" s="233">
        <v>65.622857545957402</v>
      </c>
      <c r="T64" s="233">
        <v>34.693261203588001</v>
      </c>
      <c r="U64" s="233">
        <v>48.224422267633997</v>
      </c>
      <c r="V64" s="233">
        <v>50.625954804277498</v>
      </c>
      <c r="W64" s="233">
        <v>18.751529340184799</v>
      </c>
      <c r="X64" s="233">
        <v>5.2203682761387604</v>
      </c>
      <c r="Y64" s="233">
        <v>3.8012122649469302</v>
      </c>
      <c r="Z64" s="233">
        <v>9.7649355328629603</v>
      </c>
      <c r="AA64" s="233">
        <v>28.318335849383601</v>
      </c>
      <c r="AB64" s="233">
        <v>45.2708896784168</v>
      </c>
      <c r="AC64" s="233">
        <v>11.559844749816399</v>
      </c>
      <c r="AD64" s="233">
        <v>18.553400316520602</v>
      </c>
      <c r="AE64" s="233">
        <v>71.681664150616399</v>
      </c>
      <c r="AF64" s="233">
        <v>16.952553829033199</v>
      </c>
      <c r="AG64" s="233">
        <v>51.1534304179076</v>
      </c>
      <c r="AH64" s="233">
        <v>61.682074624074701</v>
      </c>
      <c r="AI64" s="233">
        <v>65.218987590019097</v>
      </c>
      <c r="AJ64" s="233">
        <v>34.200876588874301</v>
      </c>
      <c r="AK64" s="233">
        <v>48.266433760985898</v>
      </c>
      <c r="AL64" s="233">
        <v>20.528233732708799</v>
      </c>
      <c r="AM64" s="236">
        <v>6.4626765605972798</v>
      </c>
    </row>
    <row r="65" spans="1:39">
      <c r="A65" s="236" t="s">
        <v>269</v>
      </c>
      <c r="B65" s="237">
        <v>246</v>
      </c>
      <c r="C65" s="236" t="s">
        <v>270</v>
      </c>
      <c r="D65" s="236" t="s">
        <v>67</v>
      </c>
      <c r="E65" s="236" t="s">
        <v>68</v>
      </c>
      <c r="F65" s="238">
        <v>2732.4059999999999</v>
      </c>
      <c r="G65" s="238">
        <v>2808.3120000000004</v>
      </c>
      <c r="H65" s="235">
        <f t="shared" si="0"/>
        <v>5540.7180000000008</v>
      </c>
      <c r="I65" s="236">
        <v>2.2307172395820101</v>
      </c>
      <c r="J65" s="236">
        <v>5.7573183700935999</v>
      </c>
      <c r="K65" s="236">
        <v>16.981593841949099</v>
      </c>
      <c r="L65" s="236">
        <v>29.2887625464233</v>
      </c>
      <c r="M65" s="236">
        <v>6.8979073390970003</v>
      </c>
      <c r="N65" s="236">
        <v>11.224275471855499</v>
      </c>
      <c r="O65" s="236">
        <v>83.018406158050894</v>
      </c>
      <c r="P65" s="236">
        <v>12.307168704474201</v>
      </c>
      <c r="Q65" s="236">
        <v>44.655687865696997</v>
      </c>
      <c r="R65" s="236">
        <v>58.3220470432504</v>
      </c>
      <c r="S65" s="236">
        <v>64.991718465478002</v>
      </c>
      <c r="T65" s="236">
        <v>32.348519161222903</v>
      </c>
      <c r="U65" s="236">
        <v>52.684549761003801</v>
      </c>
      <c r="V65" s="236">
        <v>59.936678652466803</v>
      </c>
      <c r="W65" s="236">
        <v>38.362718292353897</v>
      </c>
      <c r="X65" s="236">
        <v>18.026687692572899</v>
      </c>
      <c r="Y65" s="236">
        <v>2.04675893155569</v>
      </c>
      <c r="Z65" s="236">
        <v>5.3134140991075798</v>
      </c>
      <c r="AA65" s="236">
        <v>15.7147212764876</v>
      </c>
      <c r="AB65" s="236">
        <v>27.146833437230899</v>
      </c>
      <c r="AC65" s="236">
        <v>6.4015834424198497</v>
      </c>
      <c r="AD65" s="236">
        <v>10.401307177380099</v>
      </c>
      <c r="AE65" s="236">
        <v>84.285278723512405</v>
      </c>
      <c r="AF65" s="236">
        <v>11.4321121607433</v>
      </c>
      <c r="AG65" s="236">
        <v>41.3296078110004</v>
      </c>
      <c r="AH65" s="236">
        <v>54.702875518265301</v>
      </c>
      <c r="AI65" s="236">
        <v>61.432470017012498</v>
      </c>
      <c r="AJ65" s="236">
        <v>29.897495650257099</v>
      </c>
      <c r="AK65" s="236">
        <v>50.000357856269197</v>
      </c>
      <c r="AL65" s="236">
        <v>42.955670912511998</v>
      </c>
      <c r="AM65" s="233">
        <v>22.8528087064999</v>
      </c>
    </row>
    <row r="66" spans="1:39">
      <c r="A66" s="233" t="s">
        <v>271</v>
      </c>
      <c r="B66" s="234">
        <v>250</v>
      </c>
      <c r="C66" s="233" t="s">
        <v>272</v>
      </c>
      <c r="D66" s="233" t="s">
        <v>67</v>
      </c>
      <c r="E66" s="233" t="s">
        <v>68</v>
      </c>
      <c r="F66" s="235">
        <v>31589.195</v>
      </c>
      <c r="G66" s="235">
        <v>33684.316999999995</v>
      </c>
      <c r="H66" s="235">
        <f t="shared" si="0"/>
        <v>65273.511999999995</v>
      </c>
      <c r="I66" s="233">
        <v>2.5655730410900799</v>
      </c>
      <c r="J66" s="233">
        <v>6.4211131429475001</v>
      </c>
      <c r="K66" s="233">
        <v>19.417871801465001</v>
      </c>
      <c r="L66" s="233">
        <v>31.479513859718899</v>
      </c>
      <c r="M66" s="233">
        <v>7.8013562335081703</v>
      </c>
      <c r="N66" s="233">
        <v>12.9967586585175</v>
      </c>
      <c r="O66" s="233">
        <v>80.582128198535003</v>
      </c>
      <c r="P66" s="233">
        <v>12.0616420582539</v>
      </c>
      <c r="Q66" s="233">
        <v>44.348994611101098</v>
      </c>
      <c r="R66" s="233">
        <v>57.4166748639582</v>
      </c>
      <c r="S66" s="233">
        <v>63.466930094593302</v>
      </c>
      <c r="T66" s="233">
        <v>32.287352552847203</v>
      </c>
      <c r="U66" s="233">
        <v>51.4052880363394</v>
      </c>
      <c r="V66" s="233">
        <v>57.214844411684297</v>
      </c>
      <c r="W66" s="233">
        <v>36.233133587433898</v>
      </c>
      <c r="X66" s="233">
        <v>17.115198103941701</v>
      </c>
      <c r="Y66" s="233">
        <v>2.3033705281697401</v>
      </c>
      <c r="Z66" s="233">
        <v>5.7919006445634</v>
      </c>
      <c r="AA66" s="233">
        <v>17.597589400905701</v>
      </c>
      <c r="AB66" s="233">
        <v>28.7169039997105</v>
      </c>
      <c r="AC66" s="233">
        <v>7.0908901795297199</v>
      </c>
      <c r="AD66" s="233">
        <v>11.805688756342301</v>
      </c>
      <c r="AE66" s="233">
        <v>82.402410599094395</v>
      </c>
      <c r="AF66" s="233">
        <v>11.1193145988049</v>
      </c>
      <c r="AG66" s="233">
        <v>42.236927723535402</v>
      </c>
      <c r="AH66" s="233">
        <v>55.208105043152202</v>
      </c>
      <c r="AI66" s="233">
        <v>61.3804533544997</v>
      </c>
      <c r="AJ66" s="233">
        <v>31.1176131247305</v>
      </c>
      <c r="AK66" s="233">
        <v>50.261138755694802</v>
      </c>
      <c r="AL66" s="233">
        <v>40.165482875559</v>
      </c>
      <c r="AM66" s="236">
        <v>21.021957244594599</v>
      </c>
    </row>
    <row r="67" spans="1:39">
      <c r="A67" s="236" t="s">
        <v>273</v>
      </c>
      <c r="B67" s="237">
        <v>266</v>
      </c>
      <c r="C67" s="236" t="s">
        <v>274</v>
      </c>
      <c r="D67" s="236" t="s">
        <v>168</v>
      </c>
      <c r="E67" s="236" t="s">
        <v>169</v>
      </c>
      <c r="F67" s="238">
        <v>1132.854</v>
      </c>
      <c r="G67" s="238">
        <v>1092.8739999999998</v>
      </c>
      <c r="H67" s="235">
        <f t="shared" si="0"/>
        <v>2225.7280000000001</v>
      </c>
      <c r="I67" s="236">
        <v>5.7329396445797496</v>
      </c>
      <c r="J67" s="236">
        <v>13.850248500742699</v>
      </c>
      <c r="K67" s="236">
        <v>37.066384543437202</v>
      </c>
      <c r="L67" s="236">
        <v>56.65679388193</v>
      </c>
      <c r="M67" s="236">
        <v>14.549558017129099</v>
      </c>
      <c r="N67" s="236">
        <v>23.216136042694401</v>
      </c>
      <c r="O67" s="236">
        <v>62.933615456562798</v>
      </c>
      <c r="P67" s="236">
        <v>19.590409338492901</v>
      </c>
      <c r="Q67" s="236">
        <v>50.4379710968878</v>
      </c>
      <c r="R67" s="236">
        <v>56.2903469840629</v>
      </c>
      <c r="S67" s="236">
        <v>58.385753846718103</v>
      </c>
      <c r="T67" s="236">
        <v>30.8475617583949</v>
      </c>
      <c r="U67" s="236">
        <v>38.795344508225298</v>
      </c>
      <c r="V67" s="236">
        <v>40.4738707429347</v>
      </c>
      <c r="W67" s="236">
        <v>12.495644359675</v>
      </c>
      <c r="X67" s="236">
        <v>4.5478616098446603</v>
      </c>
      <c r="Y67" s="236">
        <v>5.73353188096522</v>
      </c>
      <c r="Z67" s="236">
        <v>13.864643669535401</v>
      </c>
      <c r="AA67" s="236">
        <v>37.188870389043899</v>
      </c>
      <c r="AB67" s="236">
        <v>56.845554956264799</v>
      </c>
      <c r="AC67" s="236">
        <v>14.608493773890199</v>
      </c>
      <c r="AD67" s="236">
        <v>23.324226719508498</v>
      </c>
      <c r="AE67" s="236">
        <v>62.811129610956101</v>
      </c>
      <c r="AF67" s="236">
        <v>19.6566845672209</v>
      </c>
      <c r="AG67" s="236">
        <v>49.079450320099397</v>
      </c>
      <c r="AH67" s="236">
        <v>54.911005323265201</v>
      </c>
      <c r="AI67" s="236">
        <v>57.136341251788103</v>
      </c>
      <c r="AJ67" s="236">
        <v>29.422765752878501</v>
      </c>
      <c r="AK67" s="236">
        <v>37.479656684567203</v>
      </c>
      <c r="AL67" s="236">
        <v>13.731679290856601</v>
      </c>
      <c r="AM67" s="233">
        <v>5.6747883591679802</v>
      </c>
    </row>
    <row r="68" spans="1:39">
      <c r="A68" s="233" t="s">
        <v>275</v>
      </c>
      <c r="B68" s="234">
        <v>270</v>
      </c>
      <c r="C68" s="233" t="s">
        <v>276</v>
      </c>
      <c r="D68" s="233" t="s">
        <v>277</v>
      </c>
      <c r="E68" s="233" t="s">
        <v>278</v>
      </c>
      <c r="F68" s="235">
        <v>1198.5399999999995</v>
      </c>
      <c r="G68" s="235">
        <v>1218.124</v>
      </c>
      <c r="H68" s="235">
        <f t="shared" si="0"/>
        <v>2416.6639999999998</v>
      </c>
      <c r="I68" s="233">
        <v>7.9772224313593396</v>
      </c>
      <c r="J68" s="233">
        <v>18.7791150151543</v>
      </c>
      <c r="K68" s="233">
        <v>47.074825652364098</v>
      </c>
      <c r="L68" s="233">
        <v>66.716927219945404</v>
      </c>
      <c r="M68" s="233">
        <v>18.188468957343801</v>
      </c>
      <c r="N68" s="233">
        <v>28.295710637209801</v>
      </c>
      <c r="O68" s="233">
        <v>52.925174347636002</v>
      </c>
      <c r="P68" s="233">
        <v>19.6421015675813</v>
      </c>
      <c r="Q68" s="233">
        <v>44.766425409246402</v>
      </c>
      <c r="R68" s="233">
        <v>49.040973850645003</v>
      </c>
      <c r="S68" s="233">
        <v>50.502013635289003</v>
      </c>
      <c r="T68" s="233">
        <v>25.124323841665099</v>
      </c>
      <c r="U68" s="233">
        <v>30.8599120677077</v>
      </c>
      <c r="V68" s="233">
        <v>31.854299864742998</v>
      </c>
      <c r="W68" s="233">
        <v>8.1587489383895608</v>
      </c>
      <c r="X68" s="233">
        <v>2.4231607123469501</v>
      </c>
      <c r="Y68" s="233">
        <v>7.65760254945081</v>
      </c>
      <c r="Z68" s="233">
        <v>18.017929307246</v>
      </c>
      <c r="AA68" s="233">
        <v>45.311335965140003</v>
      </c>
      <c r="AB68" s="233">
        <v>64.810676024201499</v>
      </c>
      <c r="AC68" s="233">
        <v>17.494352954516302</v>
      </c>
      <c r="AD68" s="233">
        <v>27.293406657894</v>
      </c>
      <c r="AE68" s="233">
        <v>54.688664034859997</v>
      </c>
      <c r="AF68" s="233">
        <v>19.499340059061499</v>
      </c>
      <c r="AG68" s="233">
        <v>46.6391749296047</v>
      </c>
      <c r="AH68" s="233">
        <v>51.106582202183603</v>
      </c>
      <c r="AI68" s="233">
        <v>52.481964764027602</v>
      </c>
      <c r="AJ68" s="233">
        <v>27.139834870543201</v>
      </c>
      <c r="AK68" s="233">
        <v>32.982624704966099</v>
      </c>
      <c r="AL68" s="233">
        <v>8.0494891052553594</v>
      </c>
      <c r="AM68" s="236">
        <v>2.2066992708324</v>
      </c>
    </row>
    <row r="69" spans="1:39">
      <c r="A69" s="236" t="s">
        <v>279</v>
      </c>
      <c r="B69" s="237">
        <v>268</v>
      </c>
      <c r="C69" s="236" t="s">
        <v>280</v>
      </c>
      <c r="D69" s="236" t="s">
        <v>281</v>
      </c>
      <c r="E69" s="236" t="s">
        <v>282</v>
      </c>
      <c r="F69" s="238">
        <v>1901.2270000000001</v>
      </c>
      <c r="G69" s="238">
        <v>2087.9480000000003</v>
      </c>
      <c r="H69" s="235">
        <f t="shared" si="0"/>
        <v>3989.1750000000002</v>
      </c>
      <c r="I69" s="236">
        <v>3.0109776427546899</v>
      </c>
      <c r="J69" s="236">
        <v>7.4446414356096504</v>
      </c>
      <c r="K69" s="236">
        <v>19.106401956658601</v>
      </c>
      <c r="L69" s="236">
        <v>33.803561667813497</v>
      </c>
      <c r="M69" s="236">
        <v>7.4529217027373598</v>
      </c>
      <c r="N69" s="236">
        <v>11.661760521048899</v>
      </c>
      <c r="O69" s="236">
        <v>80.893598043341399</v>
      </c>
      <c r="P69" s="236">
        <v>14.697159711154899</v>
      </c>
      <c r="Q69" s="236">
        <v>51.639519094662802</v>
      </c>
      <c r="R69" s="236">
        <v>64.904035372462602</v>
      </c>
      <c r="S69" s="236">
        <v>69.771050613918902</v>
      </c>
      <c r="T69" s="236">
        <v>36.942359383507899</v>
      </c>
      <c r="U69" s="236">
        <v>55.073890902763999</v>
      </c>
      <c r="V69" s="236">
        <v>58.381123925727003</v>
      </c>
      <c r="W69" s="236">
        <v>29.2540789486786</v>
      </c>
      <c r="X69" s="236">
        <v>11.1225474294225</v>
      </c>
      <c r="Y69" s="236">
        <v>2.6248517326660501</v>
      </c>
      <c r="Z69" s="236">
        <v>6.3448618107810004</v>
      </c>
      <c r="AA69" s="236">
        <v>15.7046003152519</v>
      </c>
      <c r="AB69" s="236">
        <v>28.409431547463999</v>
      </c>
      <c r="AC69" s="236">
        <v>5.9913628451264298</v>
      </c>
      <c r="AD69" s="236">
        <v>9.3597385044708492</v>
      </c>
      <c r="AE69" s="236">
        <v>84.295399684748105</v>
      </c>
      <c r="AF69" s="236">
        <v>12.704831232212101</v>
      </c>
      <c r="AG69" s="236">
        <v>47.670057432824898</v>
      </c>
      <c r="AH69" s="236">
        <v>62.049060531319398</v>
      </c>
      <c r="AI69" s="236">
        <v>67.621330607588902</v>
      </c>
      <c r="AJ69" s="236">
        <v>34.965226200612797</v>
      </c>
      <c r="AK69" s="236">
        <v>54.916499375376802</v>
      </c>
      <c r="AL69" s="236">
        <v>36.6253422519232</v>
      </c>
      <c r="AM69" s="233">
        <v>16.674069077159299</v>
      </c>
    </row>
    <row r="70" spans="1:39">
      <c r="A70" s="233" t="s">
        <v>283</v>
      </c>
      <c r="B70" s="234">
        <v>276</v>
      </c>
      <c r="C70" s="233" t="s">
        <v>284</v>
      </c>
      <c r="D70" s="233" t="s">
        <v>67</v>
      </c>
      <c r="E70" s="233" t="s">
        <v>68</v>
      </c>
      <c r="F70" s="235">
        <v>41415.911</v>
      </c>
      <c r="G70" s="235">
        <v>42368.034000000007</v>
      </c>
      <c r="H70" s="235">
        <f t="shared" si="0"/>
        <v>83783.945000000007</v>
      </c>
      <c r="I70" s="233">
        <v>1.77442538373908</v>
      </c>
      <c r="J70" s="233">
        <v>4.3854036358258801</v>
      </c>
      <c r="K70" s="233">
        <v>13.4601572391344</v>
      </c>
      <c r="L70" s="233">
        <v>24.310460991280198</v>
      </c>
      <c r="M70" s="233">
        <v>5.2961254313827197</v>
      </c>
      <c r="N70" s="233">
        <v>9.0747536033085705</v>
      </c>
      <c r="O70" s="233">
        <v>86.539842760865596</v>
      </c>
      <c r="P70" s="233">
        <v>10.8503037521458</v>
      </c>
      <c r="Q70" s="233">
        <v>44.760685293651001</v>
      </c>
      <c r="R70" s="233">
        <v>61.277041143503801</v>
      </c>
      <c r="S70" s="233">
        <v>67.687170747714603</v>
      </c>
      <c r="T70" s="233">
        <v>33.910381541505203</v>
      </c>
      <c r="U70" s="233">
        <v>56.836866995568798</v>
      </c>
      <c r="V70" s="233">
        <v>61.888071043996902</v>
      </c>
      <c r="W70" s="233">
        <v>41.779157467214603</v>
      </c>
      <c r="X70" s="233">
        <v>18.852672013151</v>
      </c>
      <c r="Y70" s="233">
        <v>1.6207815118405899</v>
      </c>
      <c r="Z70" s="233">
        <v>4.0099672917473699</v>
      </c>
      <c r="AA70" s="233">
        <v>12.3308486992377</v>
      </c>
      <c r="AB70" s="233">
        <v>22.366195622112699</v>
      </c>
      <c r="AC70" s="233">
        <v>4.8538641398206703</v>
      </c>
      <c r="AD70" s="233">
        <v>8.3208814074902993</v>
      </c>
      <c r="AE70" s="233">
        <v>87.669151300762294</v>
      </c>
      <c r="AF70" s="233">
        <v>10.035346922875</v>
      </c>
      <c r="AG70" s="233">
        <v>42.165977378641898</v>
      </c>
      <c r="AH70" s="233">
        <v>57.814208225540298</v>
      </c>
      <c r="AI70" s="233">
        <v>64.121005401597799</v>
      </c>
      <c r="AJ70" s="233">
        <v>32.130630455766898</v>
      </c>
      <c r="AK70" s="233">
        <v>54.085658478722799</v>
      </c>
      <c r="AL70" s="233">
        <v>45.503173922120403</v>
      </c>
      <c r="AM70" s="236">
        <v>23.548145899164499</v>
      </c>
    </row>
    <row r="71" spans="1:39">
      <c r="A71" s="236" t="s">
        <v>285</v>
      </c>
      <c r="B71" s="237">
        <v>288</v>
      </c>
      <c r="C71" s="236" t="s">
        <v>286</v>
      </c>
      <c r="D71" s="236" t="s">
        <v>287</v>
      </c>
      <c r="E71" s="236" t="s">
        <v>288</v>
      </c>
      <c r="F71" s="238">
        <v>15749.999000000002</v>
      </c>
      <c r="G71" s="238">
        <v>15322.946</v>
      </c>
      <c r="H71" s="235">
        <f t="shared" si="0"/>
        <v>31072.945</v>
      </c>
      <c r="I71" s="236">
        <v>6.3829709214379102</v>
      </c>
      <c r="J71" s="236">
        <v>15.193056957746601</v>
      </c>
      <c r="K71" s="236">
        <v>39.845692896859802</v>
      </c>
      <c r="L71" s="236">
        <v>59.7948091901334</v>
      </c>
      <c r="M71" s="236">
        <v>15.499083782323799</v>
      </c>
      <c r="N71" s="236">
        <v>24.6526359391132</v>
      </c>
      <c r="O71" s="236">
        <v>60.154307103140198</v>
      </c>
      <c r="P71" s="236">
        <v>19.949116293273601</v>
      </c>
      <c r="Q71" s="236">
        <v>49.714801304779598</v>
      </c>
      <c r="R71" s="236">
        <v>55.299893527189397</v>
      </c>
      <c r="S71" s="236">
        <v>57.066404916729297</v>
      </c>
      <c r="T71" s="236">
        <v>29.7656850115061</v>
      </c>
      <c r="U71" s="236">
        <v>37.1172886234557</v>
      </c>
      <c r="V71" s="236">
        <v>38.522013939298901</v>
      </c>
      <c r="W71" s="236">
        <v>10.4395057983605</v>
      </c>
      <c r="X71" s="236">
        <v>3.0879021864108802</v>
      </c>
      <c r="Y71" s="236">
        <v>6.0432087234900296</v>
      </c>
      <c r="Z71" s="236">
        <v>14.4059811447062</v>
      </c>
      <c r="AA71" s="236">
        <v>37.798968484271001</v>
      </c>
      <c r="AB71" s="236">
        <v>56.768858252216603</v>
      </c>
      <c r="AC71" s="236">
        <v>14.7202142627889</v>
      </c>
      <c r="AD71" s="236">
        <v>23.392987339564801</v>
      </c>
      <c r="AE71" s="236">
        <v>62.201031515728999</v>
      </c>
      <c r="AF71" s="236">
        <v>18.969889767945599</v>
      </c>
      <c r="AG71" s="236">
        <v>50.462583470440698</v>
      </c>
      <c r="AH71" s="236">
        <v>56.524493434855302</v>
      </c>
      <c r="AI71" s="236">
        <v>58.503746818302602</v>
      </c>
      <c r="AJ71" s="236">
        <v>31.492693702495099</v>
      </c>
      <c r="AK71" s="236">
        <v>39.5338570503569</v>
      </c>
      <c r="AL71" s="236">
        <v>11.738448045288401</v>
      </c>
      <c r="AM71" s="233">
        <v>3.6972846974264799</v>
      </c>
    </row>
    <row r="72" spans="1:39">
      <c r="A72" s="233" t="s">
        <v>289</v>
      </c>
      <c r="B72" s="234">
        <v>300</v>
      </c>
      <c r="C72" s="233" t="s">
        <v>290</v>
      </c>
      <c r="D72" s="233" t="s">
        <v>67</v>
      </c>
      <c r="E72" s="233" t="s">
        <v>68</v>
      </c>
      <c r="F72" s="235">
        <v>5115.8259999999991</v>
      </c>
      <c r="G72" s="235">
        <v>5307.2300000000005</v>
      </c>
      <c r="H72" s="235">
        <f t="shared" ref="H72:H135" si="1">SUM(F72:G72)</f>
        <v>10423.056</v>
      </c>
      <c r="I72" s="233">
        <v>2.0394677885769399</v>
      </c>
      <c r="J72" s="233">
        <v>5.1237669005414004</v>
      </c>
      <c r="K72" s="233">
        <v>15.358148638518299</v>
      </c>
      <c r="L72" s="233">
        <v>26.0226383861764</v>
      </c>
      <c r="M72" s="233">
        <v>6.1830037553536696</v>
      </c>
      <c r="N72" s="233">
        <v>10.2343817379769</v>
      </c>
      <c r="O72" s="233">
        <v>84.641851361481699</v>
      </c>
      <c r="P72" s="233">
        <v>10.6644897476581</v>
      </c>
      <c r="Q72" s="233">
        <v>46.678243475557103</v>
      </c>
      <c r="R72" s="233">
        <v>59.718093104259196</v>
      </c>
      <c r="S72" s="233">
        <v>65.183065306260701</v>
      </c>
      <c r="T72" s="233">
        <v>36.013753727899001</v>
      </c>
      <c r="U72" s="233">
        <v>54.5185755586025</v>
      </c>
      <c r="V72" s="233">
        <v>60.2699746256854</v>
      </c>
      <c r="W72" s="233">
        <v>37.963607885924702</v>
      </c>
      <c r="X72" s="233">
        <v>19.4587860552211</v>
      </c>
      <c r="Y72" s="233">
        <v>1.8337276680343599</v>
      </c>
      <c r="Z72" s="233">
        <v>4.6211855426772797</v>
      </c>
      <c r="AA72" s="233">
        <v>13.882114603789899</v>
      </c>
      <c r="AB72" s="233">
        <v>23.55081997373</v>
      </c>
      <c r="AC72" s="233">
        <v>5.5949890256581396</v>
      </c>
      <c r="AD72" s="233">
        <v>9.2609290611126092</v>
      </c>
      <c r="AE72" s="233">
        <v>86.117885396210099</v>
      </c>
      <c r="AF72" s="233">
        <v>9.66870536994014</v>
      </c>
      <c r="AG72" s="233">
        <v>43.383306164884701</v>
      </c>
      <c r="AH72" s="233">
        <v>57.077380875979202</v>
      </c>
      <c r="AI72" s="233">
        <v>62.8748497178332</v>
      </c>
      <c r="AJ72" s="233">
        <v>33.714600794944502</v>
      </c>
      <c r="AK72" s="233">
        <v>53.206144347893101</v>
      </c>
      <c r="AL72" s="233">
        <v>42.734579231325398</v>
      </c>
      <c r="AM72" s="236">
        <v>23.243035678376899</v>
      </c>
    </row>
    <row r="73" spans="1:39">
      <c r="A73" s="236" t="s">
        <v>291</v>
      </c>
      <c r="B73" s="237">
        <v>308</v>
      </c>
      <c r="C73" s="236" t="s">
        <v>292</v>
      </c>
      <c r="D73" s="236" t="s">
        <v>75</v>
      </c>
      <c r="E73" s="236" t="s">
        <v>76</v>
      </c>
      <c r="F73" s="238">
        <v>56.665999999999997</v>
      </c>
      <c r="G73" s="238">
        <v>55.853000000000009</v>
      </c>
      <c r="H73" s="235">
        <f t="shared" si="1"/>
        <v>112.51900000000001</v>
      </c>
      <c r="I73" s="236">
        <v>3.7903105404598398</v>
      </c>
      <c r="J73" s="236">
        <v>9.4972379814870092</v>
      </c>
      <c r="K73" s="236">
        <v>27.056584054941801</v>
      </c>
      <c r="L73" s="236">
        <v>46.030531501940899</v>
      </c>
      <c r="M73" s="236">
        <v>10.766273514481901</v>
      </c>
      <c r="N73" s="236">
        <v>17.559346073454801</v>
      </c>
      <c r="O73" s="236">
        <v>72.943415945058206</v>
      </c>
      <c r="P73" s="236">
        <v>18.973947446999102</v>
      </c>
      <c r="Q73" s="236">
        <v>55.135861451179402</v>
      </c>
      <c r="R73" s="236">
        <v>64.093759331143602</v>
      </c>
      <c r="S73" s="236">
        <v>67.094655120931606</v>
      </c>
      <c r="T73" s="236">
        <v>36.161914004180304</v>
      </c>
      <c r="U73" s="236">
        <v>48.1207076739325</v>
      </c>
      <c r="V73" s="236">
        <v>50.115706180949502</v>
      </c>
      <c r="W73" s="236">
        <v>17.807554493878801</v>
      </c>
      <c r="X73" s="236">
        <v>5.8487608241266003</v>
      </c>
      <c r="Y73" s="236">
        <v>3.6306605811310799</v>
      </c>
      <c r="Z73" s="236">
        <v>9.1020078510921998</v>
      </c>
      <c r="AA73" s="236">
        <v>25.9067260194211</v>
      </c>
      <c r="AB73" s="236">
        <v>44.463853045585203</v>
      </c>
      <c r="AC73" s="236">
        <v>10.3040889540016</v>
      </c>
      <c r="AD73" s="236">
        <v>16.8047181683289</v>
      </c>
      <c r="AE73" s="236">
        <v>74.0932739805789</v>
      </c>
      <c r="AF73" s="236">
        <v>18.557127026164</v>
      </c>
      <c r="AG73" s="236">
        <v>52.884055521120899</v>
      </c>
      <c r="AH73" s="236">
        <v>62.604008189177499</v>
      </c>
      <c r="AI73" s="236">
        <v>65.614845701620894</v>
      </c>
      <c r="AJ73" s="236">
        <v>34.326928494956903</v>
      </c>
      <c r="AK73" s="236">
        <v>47.057718675456897</v>
      </c>
      <c r="AL73" s="236">
        <v>21.209218459457901</v>
      </c>
      <c r="AM73" s="233">
        <v>8.4784282789579493</v>
      </c>
    </row>
    <row r="74" spans="1:39">
      <c r="A74" s="233" t="s">
        <v>293</v>
      </c>
      <c r="B74" s="234">
        <v>320</v>
      </c>
      <c r="C74" s="233" t="s">
        <v>294</v>
      </c>
      <c r="D74" s="233" t="s">
        <v>295</v>
      </c>
      <c r="E74" s="233" t="s">
        <v>296</v>
      </c>
      <c r="F74" s="235">
        <v>8827.1090000000004</v>
      </c>
      <c r="G74" s="235">
        <v>9088.4579999999969</v>
      </c>
      <c r="H74" s="235">
        <f t="shared" si="1"/>
        <v>17915.566999999995</v>
      </c>
      <c r="I74" s="233">
        <v>5.4869047303305702</v>
      </c>
      <c r="J74" s="233">
        <v>13.323799477260099</v>
      </c>
      <c r="K74" s="233">
        <v>38.111883650091599</v>
      </c>
      <c r="L74" s="233">
        <v>59.418600752533301</v>
      </c>
      <c r="M74" s="233">
        <v>15.0396433598874</v>
      </c>
      <c r="N74" s="233">
        <v>24.7880841728314</v>
      </c>
      <c r="O74" s="233">
        <v>61.888116349908401</v>
      </c>
      <c r="P74" s="233">
        <v>21.306717102441699</v>
      </c>
      <c r="Q74" s="233">
        <v>50.390328461400301</v>
      </c>
      <c r="R74" s="233">
        <v>55.3976921579509</v>
      </c>
      <c r="S74" s="233">
        <v>57.400089675461899</v>
      </c>
      <c r="T74" s="233">
        <v>29.083611358958599</v>
      </c>
      <c r="U74" s="233">
        <v>36.093372573020197</v>
      </c>
      <c r="V74" s="233">
        <v>37.727109862949703</v>
      </c>
      <c r="W74" s="233">
        <v>11.497787888508199</v>
      </c>
      <c r="X74" s="233">
        <v>4.4880266744465498</v>
      </c>
      <c r="Y74" s="233">
        <v>5.0503321764356199</v>
      </c>
      <c r="Z74" s="233">
        <v>12.269119981258999</v>
      </c>
      <c r="AA74" s="233">
        <v>35.197312359626999</v>
      </c>
      <c r="AB74" s="233">
        <v>55.327655875488603</v>
      </c>
      <c r="AC74" s="233">
        <v>13.884413307465501</v>
      </c>
      <c r="AD74" s="233">
        <v>22.9281923783679</v>
      </c>
      <c r="AE74" s="233">
        <v>64.802687640372994</v>
      </c>
      <c r="AF74" s="233">
        <v>20.1303435158616</v>
      </c>
      <c r="AG74" s="233">
        <v>51.263307627201101</v>
      </c>
      <c r="AH74" s="233">
        <v>57.299276410963898</v>
      </c>
      <c r="AI74" s="233">
        <v>59.612948072303602</v>
      </c>
      <c r="AJ74" s="233">
        <v>31.1329641113396</v>
      </c>
      <c r="AK74" s="233">
        <v>39.482604556441999</v>
      </c>
      <c r="AL74" s="233">
        <v>13.539380013171799</v>
      </c>
      <c r="AM74" s="236">
        <v>5.18973956806943</v>
      </c>
    </row>
    <row r="75" spans="1:39">
      <c r="A75" s="236" t="s">
        <v>297</v>
      </c>
      <c r="B75" s="237">
        <v>324</v>
      </c>
      <c r="C75" s="236" t="s">
        <v>298</v>
      </c>
      <c r="D75" s="236" t="s">
        <v>299</v>
      </c>
      <c r="E75" s="236" t="s">
        <v>300</v>
      </c>
      <c r="F75" s="238">
        <v>6353.2339999999995</v>
      </c>
      <c r="G75" s="238">
        <v>6779.5579999999991</v>
      </c>
      <c r="H75" s="235">
        <f t="shared" si="1"/>
        <v>13132.791999999998</v>
      </c>
      <c r="I75" s="236">
        <v>6.8586482917359799</v>
      </c>
      <c r="J75" s="236">
        <v>16.320267652098501</v>
      </c>
      <c r="K75" s="236">
        <v>42.756179497858099</v>
      </c>
      <c r="L75" s="236">
        <v>62.773413903970997</v>
      </c>
      <c r="M75" s="236">
        <v>16.6566201172148</v>
      </c>
      <c r="N75" s="236">
        <v>26.435911845759701</v>
      </c>
      <c r="O75" s="236">
        <v>57.243820502141901</v>
      </c>
      <c r="P75" s="236">
        <v>20.017234406112902</v>
      </c>
      <c r="Q75" s="236">
        <v>47.068751139825999</v>
      </c>
      <c r="R75" s="236">
        <v>52.460782473039203</v>
      </c>
      <c r="S75" s="236">
        <v>54.403465102621098</v>
      </c>
      <c r="T75" s="236">
        <v>27.0515167337131</v>
      </c>
      <c r="U75" s="236">
        <v>34.3862306965082</v>
      </c>
      <c r="V75" s="236">
        <v>35.643443926572203</v>
      </c>
      <c r="W75" s="236">
        <v>10.175069362315901</v>
      </c>
      <c r="X75" s="236">
        <v>2.84035539952077</v>
      </c>
      <c r="Y75" s="236">
        <v>6.7369268000062998</v>
      </c>
      <c r="Z75" s="236">
        <v>16.127570309844199</v>
      </c>
      <c r="AA75" s="236">
        <v>42.3065328975322</v>
      </c>
      <c r="AB75" s="236">
        <v>62.002801942557099</v>
      </c>
      <c r="AC75" s="236">
        <v>16.557167565995702</v>
      </c>
      <c r="AD75" s="236">
        <v>26.178962587688002</v>
      </c>
      <c r="AE75" s="236">
        <v>57.6934671024678</v>
      </c>
      <c r="AF75" s="236">
        <v>19.696269045025002</v>
      </c>
      <c r="AG75" s="236">
        <v>46.643419483442898</v>
      </c>
      <c r="AH75" s="236">
        <v>52.279755845718498</v>
      </c>
      <c r="AI75" s="236">
        <v>54.405710274303701</v>
      </c>
      <c r="AJ75" s="236">
        <v>26.9471504384179</v>
      </c>
      <c r="AK75" s="236">
        <v>34.709441229278703</v>
      </c>
      <c r="AL75" s="236">
        <v>11.0500476190249</v>
      </c>
      <c r="AM75" s="233">
        <v>3.2877568281641198</v>
      </c>
    </row>
    <row r="76" spans="1:39">
      <c r="A76" s="233" t="s">
        <v>301</v>
      </c>
      <c r="B76" s="234">
        <v>624</v>
      </c>
      <c r="C76" s="233" t="s">
        <v>302</v>
      </c>
      <c r="D76" s="233" t="s">
        <v>123</v>
      </c>
      <c r="E76" s="233" t="s">
        <v>124</v>
      </c>
      <c r="F76" s="235">
        <v>962.69500000000028</v>
      </c>
      <c r="G76" s="235">
        <v>1005.3030000000001</v>
      </c>
      <c r="H76" s="235">
        <f t="shared" si="1"/>
        <v>1967.9980000000005</v>
      </c>
      <c r="I76" s="233">
        <v>6.6718732932823599</v>
      </c>
      <c r="J76" s="233">
        <v>15.8097214636811</v>
      </c>
      <c r="K76" s="233">
        <v>41.086182413981398</v>
      </c>
      <c r="L76" s="233">
        <v>61.050901146914299</v>
      </c>
      <c r="M76" s="233">
        <v>15.9269251774986</v>
      </c>
      <c r="N76" s="233">
        <v>25.2764609503004</v>
      </c>
      <c r="O76" s="233">
        <v>58.913817586018602</v>
      </c>
      <c r="P76" s="233">
        <v>19.964718732932798</v>
      </c>
      <c r="Q76" s="233">
        <v>48.621736755871098</v>
      </c>
      <c r="R76" s="233">
        <v>53.9540141998908</v>
      </c>
      <c r="S76" s="233">
        <v>55.977498634625903</v>
      </c>
      <c r="T76" s="233">
        <v>28.657018022938299</v>
      </c>
      <c r="U76" s="233">
        <v>36.012779901693101</v>
      </c>
      <c r="V76" s="233">
        <v>37.357509557618798</v>
      </c>
      <c r="W76" s="233">
        <v>10.2920808301475</v>
      </c>
      <c r="X76" s="233">
        <v>2.9363189513926802</v>
      </c>
      <c r="Y76" s="233">
        <v>6.5162974726132497</v>
      </c>
      <c r="Z76" s="233">
        <v>15.5095954566253</v>
      </c>
      <c r="AA76" s="233">
        <v>40.503862406804302</v>
      </c>
      <c r="AB76" s="233">
        <v>60.191962963959803</v>
      </c>
      <c r="AC76" s="233">
        <v>15.7603423680457</v>
      </c>
      <c r="AD76" s="233">
        <v>24.994266950179</v>
      </c>
      <c r="AE76" s="233">
        <v>59.496137593195698</v>
      </c>
      <c r="AF76" s="233">
        <v>19.6881005571556</v>
      </c>
      <c r="AG76" s="233">
        <v>48.236858396361001</v>
      </c>
      <c r="AH76" s="233">
        <v>53.8608456921379</v>
      </c>
      <c r="AI76" s="233">
        <v>56.0989422119344</v>
      </c>
      <c r="AJ76" s="233">
        <v>28.5487578392055</v>
      </c>
      <c r="AK76" s="233">
        <v>36.410841654778899</v>
      </c>
      <c r="AL76" s="233">
        <v>11.259279196834701</v>
      </c>
      <c r="AM76" s="236">
        <v>3.3971953812612701</v>
      </c>
    </row>
    <row r="77" spans="1:39">
      <c r="A77" s="236" t="s">
        <v>303</v>
      </c>
      <c r="B77" s="237">
        <v>328</v>
      </c>
      <c r="C77" s="236" t="s">
        <v>304</v>
      </c>
      <c r="D77" s="236" t="s">
        <v>305</v>
      </c>
      <c r="E77" s="236" t="s">
        <v>306</v>
      </c>
      <c r="F77" s="238">
        <v>395.54899999999992</v>
      </c>
      <c r="G77" s="238">
        <v>391.01</v>
      </c>
      <c r="H77" s="235">
        <f t="shared" si="1"/>
        <v>786.55899999999997</v>
      </c>
      <c r="I77" s="236">
        <v>4.1112947115297303</v>
      </c>
      <c r="J77" s="236">
        <v>8.9268714056326992</v>
      </c>
      <c r="K77" s="236">
        <v>28.993590126044399</v>
      </c>
      <c r="L77" s="236">
        <v>50.803244625796701</v>
      </c>
      <c r="M77" s="236">
        <v>10.520649859013901</v>
      </c>
      <c r="N77" s="236">
        <v>20.0667187204117</v>
      </c>
      <c r="O77" s="236">
        <v>71.006409873955604</v>
      </c>
      <c r="P77" s="236">
        <v>21.809654499752298</v>
      </c>
      <c r="Q77" s="236">
        <v>52.145141751340503</v>
      </c>
      <c r="R77" s="236">
        <v>63.367998360566403</v>
      </c>
      <c r="S77" s="236">
        <v>66.437007618696796</v>
      </c>
      <c r="T77" s="236">
        <v>30.335487251588201</v>
      </c>
      <c r="U77" s="236">
        <v>44.627353118944498</v>
      </c>
      <c r="V77" s="236">
        <v>46.7638048347726</v>
      </c>
      <c r="W77" s="236">
        <v>18.861268122615101</v>
      </c>
      <c r="X77" s="236">
        <v>4.5694022552587699</v>
      </c>
      <c r="Y77" s="236">
        <v>3.9849470368409801</v>
      </c>
      <c r="Z77" s="236">
        <v>8.5757863233976099</v>
      </c>
      <c r="AA77" s="236">
        <v>28.6184503624347</v>
      </c>
      <c r="AB77" s="236">
        <v>50.460970790333</v>
      </c>
      <c r="AC77" s="236">
        <v>10.3520569412924</v>
      </c>
      <c r="AD77" s="236">
        <v>20.042664039037099</v>
      </c>
      <c r="AE77" s="236">
        <v>71.3815496375653</v>
      </c>
      <c r="AF77" s="236">
        <v>21.8425204278983</v>
      </c>
      <c r="AG77" s="236">
        <v>50.770468518237102</v>
      </c>
      <c r="AH77" s="236">
        <v>62.402446630641599</v>
      </c>
      <c r="AI77" s="236">
        <v>65.933498608439507</v>
      </c>
      <c r="AJ77" s="236">
        <v>28.927948090338798</v>
      </c>
      <c r="AK77" s="236">
        <v>44.0909781805412</v>
      </c>
      <c r="AL77" s="236">
        <v>20.611081119328301</v>
      </c>
      <c r="AM77" s="233">
        <v>5.4480510291258097</v>
      </c>
    </row>
    <row r="78" spans="1:39">
      <c r="A78" s="233" t="s">
        <v>307</v>
      </c>
      <c r="B78" s="234">
        <v>332</v>
      </c>
      <c r="C78" s="233" t="s">
        <v>308</v>
      </c>
      <c r="D78" s="233" t="s">
        <v>309</v>
      </c>
      <c r="E78" s="233" t="s">
        <v>310</v>
      </c>
      <c r="F78" s="235">
        <v>5626.4449999999997</v>
      </c>
      <c r="G78" s="235">
        <v>5776.0880000000025</v>
      </c>
      <c r="H78" s="235">
        <f t="shared" si="1"/>
        <v>11402.533000000003</v>
      </c>
      <c r="I78" s="233">
        <v>4.7698861823732397</v>
      </c>
      <c r="J78" s="233">
        <v>11.908377320137999</v>
      </c>
      <c r="K78" s="233">
        <v>34.698160727991798</v>
      </c>
      <c r="L78" s="233">
        <v>55.191808392837103</v>
      </c>
      <c r="M78" s="233">
        <v>13.913258184830299</v>
      </c>
      <c r="N78" s="233">
        <v>22.7897834078539</v>
      </c>
      <c r="O78" s="233">
        <v>65.301839272008195</v>
      </c>
      <c r="P78" s="233">
        <v>20.493647664845302</v>
      </c>
      <c r="Q78" s="233">
        <v>52.3204872105715</v>
      </c>
      <c r="R78" s="233">
        <v>58.847378970374599</v>
      </c>
      <c r="S78" s="233">
        <v>61.160787265956898</v>
      </c>
      <c r="T78" s="233">
        <v>31.826839545726202</v>
      </c>
      <c r="U78" s="233">
        <v>40.6671396011116</v>
      </c>
      <c r="V78" s="233">
        <v>42.2089084086561</v>
      </c>
      <c r="W78" s="233">
        <v>12.9813520614367</v>
      </c>
      <c r="X78" s="233">
        <v>4.1410520060512397</v>
      </c>
      <c r="Y78" s="233">
        <v>4.4827098932419798</v>
      </c>
      <c r="Z78" s="233">
        <v>11.2069779233769</v>
      </c>
      <c r="AA78" s="233">
        <v>32.805124828096403</v>
      </c>
      <c r="AB78" s="233">
        <v>52.710567464250097</v>
      </c>
      <c r="AC78" s="233">
        <v>13.156440808364801</v>
      </c>
      <c r="AD78" s="233">
        <v>21.598146904719499</v>
      </c>
      <c r="AE78" s="233">
        <v>67.194875171903604</v>
      </c>
      <c r="AF78" s="233">
        <v>19.905442636153602</v>
      </c>
      <c r="AG78" s="233">
        <v>52.696972187869697</v>
      </c>
      <c r="AH78" s="233">
        <v>59.559723624286399</v>
      </c>
      <c r="AI78" s="233">
        <v>62.084732190603603</v>
      </c>
      <c r="AJ78" s="233">
        <v>32.791529551716103</v>
      </c>
      <c r="AK78" s="233">
        <v>42.179289554449902</v>
      </c>
      <c r="AL78" s="233">
        <v>14.4979029840339</v>
      </c>
      <c r="AM78" s="236">
        <v>5.1101429813000303</v>
      </c>
    </row>
    <row r="79" spans="1:39">
      <c r="A79" s="236" t="s">
        <v>311</v>
      </c>
      <c r="B79" s="237">
        <v>340</v>
      </c>
      <c r="C79" s="236" t="s">
        <v>312</v>
      </c>
      <c r="D79" s="236" t="s">
        <v>313</v>
      </c>
      <c r="E79" s="236" t="s">
        <v>314</v>
      </c>
      <c r="F79" s="238">
        <v>4948.88</v>
      </c>
      <c r="G79" s="238">
        <v>4955.7280000000001</v>
      </c>
      <c r="H79" s="235">
        <f t="shared" si="1"/>
        <v>9904.6080000000002</v>
      </c>
      <c r="I79" s="236">
        <v>4.0682989582161602</v>
      </c>
      <c r="J79" s="236">
        <v>10.31035475557</v>
      </c>
      <c r="K79" s="236">
        <v>32.360413700624498</v>
      </c>
      <c r="L79" s="236">
        <v>54.180143420577302</v>
      </c>
      <c r="M79" s="236">
        <v>13.036520165452499</v>
      </c>
      <c r="N79" s="236">
        <v>22.050058945054499</v>
      </c>
      <c r="O79" s="236">
        <v>67.639586299375495</v>
      </c>
      <c r="P79" s="236">
        <v>21.8197297199528</v>
      </c>
      <c r="Q79" s="236">
        <v>54.266715097912197</v>
      </c>
      <c r="R79" s="236">
        <v>60.7618456268914</v>
      </c>
      <c r="S79" s="236">
        <v>63.086124200376503</v>
      </c>
      <c r="T79" s="236">
        <v>32.4469853779595</v>
      </c>
      <c r="U79" s="236">
        <v>41.266394480423699</v>
      </c>
      <c r="V79" s="236">
        <v>42.897975749028397</v>
      </c>
      <c r="W79" s="236">
        <v>13.3728712014632</v>
      </c>
      <c r="X79" s="236">
        <v>4.55346209899895</v>
      </c>
      <c r="Y79" s="236">
        <v>3.9012423070695501</v>
      </c>
      <c r="Z79" s="236">
        <v>9.8984228656992208</v>
      </c>
      <c r="AA79" s="236">
        <v>31.165646389367101</v>
      </c>
      <c r="AB79" s="236">
        <v>52.551213166900098</v>
      </c>
      <c r="AC79" s="236">
        <v>12.555006092944501</v>
      </c>
      <c r="AD79" s="236">
        <v>21.267223523667901</v>
      </c>
      <c r="AE79" s="236">
        <v>68.834353610632903</v>
      </c>
      <c r="AF79" s="236">
        <v>21.385566777533001</v>
      </c>
      <c r="AG79" s="236">
        <v>54.768539906682101</v>
      </c>
      <c r="AH79" s="236">
        <v>61.314258777578502</v>
      </c>
      <c r="AI79" s="236">
        <v>63.681519982926901</v>
      </c>
      <c r="AJ79" s="236">
        <v>33.3829731291491</v>
      </c>
      <c r="AK79" s="236">
        <v>42.2959532053939</v>
      </c>
      <c r="AL79" s="236">
        <v>14.065813703950701</v>
      </c>
      <c r="AM79" s="233">
        <v>5.1528336277059896</v>
      </c>
    </row>
    <row r="80" spans="1:39">
      <c r="A80" s="233" t="s">
        <v>315</v>
      </c>
      <c r="B80" s="234">
        <v>348</v>
      </c>
      <c r="C80" s="233" t="s">
        <v>316</v>
      </c>
      <c r="D80" s="233" t="s">
        <v>317</v>
      </c>
      <c r="E80" s="233" t="s">
        <v>318</v>
      </c>
      <c r="F80" s="235">
        <v>4598.2880000000005</v>
      </c>
      <c r="G80" s="235">
        <v>5062.061999999999</v>
      </c>
      <c r="H80" s="235">
        <f t="shared" si="1"/>
        <v>9660.3499999999985</v>
      </c>
      <c r="I80" s="233">
        <v>1.9443535467339199</v>
      </c>
      <c r="J80" s="233">
        <v>5.0808326396091097</v>
      </c>
      <c r="K80" s="233">
        <v>15.706335611875399</v>
      </c>
      <c r="L80" s="233">
        <v>27.747654217292499</v>
      </c>
      <c r="M80" s="233">
        <v>6.4269596332446097</v>
      </c>
      <c r="N80" s="233">
        <v>10.6255029722663</v>
      </c>
      <c r="O80" s="233">
        <v>84.293664388124597</v>
      </c>
      <c r="P80" s="233">
        <v>12.0413186054171</v>
      </c>
      <c r="Q80" s="233">
        <v>51.196442447181902</v>
      </c>
      <c r="R80" s="233">
        <v>63.697079323323102</v>
      </c>
      <c r="S80" s="233">
        <v>70.367405585110603</v>
      </c>
      <c r="T80" s="233">
        <v>39.155123841764798</v>
      </c>
      <c r="U80" s="233">
        <v>58.3260869796935</v>
      </c>
      <c r="V80" s="233">
        <v>63.194592042192603</v>
      </c>
      <c r="W80" s="233">
        <v>33.097221940942703</v>
      </c>
      <c r="X80" s="233">
        <v>13.9262588030139</v>
      </c>
      <c r="Y80" s="233">
        <v>1.66085158509867</v>
      </c>
      <c r="Z80" s="233">
        <v>4.3568961290494999</v>
      </c>
      <c r="AA80" s="233">
        <v>13.5162595722284</v>
      </c>
      <c r="AB80" s="233">
        <v>23.9616990804696</v>
      </c>
      <c r="AC80" s="233">
        <v>5.5412712004551397</v>
      </c>
      <c r="AD80" s="233">
        <v>9.1593634431789308</v>
      </c>
      <c r="AE80" s="233">
        <v>86.483740427771593</v>
      </c>
      <c r="AF80" s="233">
        <v>10.445439508241201</v>
      </c>
      <c r="AG80" s="233">
        <v>45.030419286164403</v>
      </c>
      <c r="AH80" s="233">
        <v>57.648487904514099</v>
      </c>
      <c r="AI80" s="233">
        <v>65.130869349853299</v>
      </c>
      <c r="AJ80" s="233">
        <v>34.584979777923103</v>
      </c>
      <c r="AK80" s="233">
        <v>54.685429841612098</v>
      </c>
      <c r="AL80" s="233">
        <v>41.453321141607198</v>
      </c>
      <c r="AM80" s="236">
        <v>21.352871077918198</v>
      </c>
    </row>
    <row r="81" spans="1:39">
      <c r="A81" s="236" t="s">
        <v>319</v>
      </c>
      <c r="B81" s="237">
        <v>352</v>
      </c>
      <c r="C81" s="236" t="s">
        <v>320</v>
      </c>
      <c r="D81" s="236" t="s">
        <v>321</v>
      </c>
      <c r="E81" s="236" t="s">
        <v>322</v>
      </c>
      <c r="F81" s="238">
        <v>171.405</v>
      </c>
      <c r="G81" s="238">
        <v>169.845</v>
      </c>
      <c r="H81" s="235">
        <f t="shared" si="1"/>
        <v>341.25</v>
      </c>
      <c r="I81" s="236">
        <v>2.6572536662222799</v>
      </c>
      <c r="J81" s="236">
        <v>7.07671797357896</v>
      </c>
      <c r="K81" s="236">
        <v>20.637498485032101</v>
      </c>
      <c r="L81" s="236">
        <v>35.384195855047899</v>
      </c>
      <c r="M81" s="236">
        <v>8.5286631923403196</v>
      </c>
      <c r="N81" s="236">
        <v>13.560780511453199</v>
      </c>
      <c r="O81" s="236">
        <v>79.362501514967903</v>
      </c>
      <c r="P81" s="236">
        <v>14.7466973700158</v>
      </c>
      <c r="Q81" s="236">
        <v>48.123863774088001</v>
      </c>
      <c r="R81" s="236">
        <v>60.962913586231998</v>
      </c>
      <c r="S81" s="236">
        <v>66.467700884741205</v>
      </c>
      <c r="T81" s="236">
        <v>33.377166404072199</v>
      </c>
      <c r="U81" s="236">
        <v>51.721003514725503</v>
      </c>
      <c r="V81" s="236">
        <v>56.384680644770299</v>
      </c>
      <c r="W81" s="236">
        <v>31.238637740879899</v>
      </c>
      <c r="X81" s="236">
        <v>12.8948006302266</v>
      </c>
      <c r="Y81" s="236">
        <v>2.71524588668228</v>
      </c>
      <c r="Z81" s="236">
        <v>6.8933426598947696</v>
      </c>
      <c r="AA81" s="236">
        <v>20.000608254006899</v>
      </c>
      <c r="AB81" s="236">
        <v>34.0318116845595</v>
      </c>
      <c r="AC81" s="236">
        <v>8.0630151151120693</v>
      </c>
      <c r="AD81" s="236">
        <v>13.1072655941121</v>
      </c>
      <c r="AE81" s="236">
        <v>79.999391745993094</v>
      </c>
      <c r="AF81" s="236">
        <v>14.031203430552599</v>
      </c>
      <c r="AG81" s="236">
        <v>47.063045527812399</v>
      </c>
      <c r="AH81" s="236">
        <v>60.080289528907301</v>
      </c>
      <c r="AI81" s="236">
        <v>65.463337489735693</v>
      </c>
      <c r="AJ81" s="236">
        <v>33.031842097259798</v>
      </c>
      <c r="AK81" s="236">
        <v>51.432134059183099</v>
      </c>
      <c r="AL81" s="236">
        <v>32.936346218180702</v>
      </c>
      <c r="AM81" s="233">
        <v>14.536054256257399</v>
      </c>
    </row>
    <row r="82" spans="1:39">
      <c r="A82" s="233" t="s">
        <v>323</v>
      </c>
      <c r="B82" s="234">
        <v>356</v>
      </c>
      <c r="C82" s="233" t="s">
        <v>324</v>
      </c>
      <c r="D82" s="233" t="s">
        <v>325</v>
      </c>
      <c r="E82" s="233" t="s">
        <v>326</v>
      </c>
      <c r="F82" s="235">
        <v>717100.96999999986</v>
      </c>
      <c r="G82" s="235">
        <v>662903.41500000015</v>
      </c>
      <c r="H82" s="235">
        <f t="shared" si="1"/>
        <v>1380004.385</v>
      </c>
      <c r="I82" s="233">
        <v>3.7825748243089099</v>
      </c>
      <c r="J82" s="233">
        <v>9.5821144209052491</v>
      </c>
      <c r="K82" s="233">
        <v>29.276132010304099</v>
      </c>
      <c r="L82" s="233">
        <v>47.965323465226902</v>
      </c>
      <c r="M82" s="233">
        <v>11.829849360783101</v>
      </c>
      <c r="N82" s="233">
        <v>19.6940175893989</v>
      </c>
      <c r="O82" s="233">
        <v>70.723867989695904</v>
      </c>
      <c r="P82" s="233">
        <v>18.689191454922799</v>
      </c>
      <c r="Q82" s="233">
        <v>53.750377706719597</v>
      </c>
      <c r="R82" s="233">
        <v>62.392464761686298</v>
      </c>
      <c r="S82" s="233">
        <v>65.579786775101994</v>
      </c>
      <c r="T82" s="233">
        <v>35.061186251796798</v>
      </c>
      <c r="U82" s="233">
        <v>46.890595320179202</v>
      </c>
      <c r="V82" s="233">
        <v>48.980273234633202</v>
      </c>
      <c r="W82" s="233">
        <v>16.9734902829763</v>
      </c>
      <c r="X82" s="233">
        <v>5.1440812145939203</v>
      </c>
      <c r="Y82" s="233">
        <v>3.6668130324991002</v>
      </c>
      <c r="Z82" s="233">
        <v>9.2788890546858198</v>
      </c>
      <c r="AA82" s="233">
        <v>28.262993999549799</v>
      </c>
      <c r="AB82" s="233">
        <v>46.400384287546601</v>
      </c>
      <c r="AC82" s="233">
        <v>11.409431390997399</v>
      </c>
      <c r="AD82" s="233">
        <v>18.984104944864001</v>
      </c>
      <c r="AE82" s="233">
        <v>71.737006000450194</v>
      </c>
      <c r="AF82" s="233">
        <v>18.137390287996801</v>
      </c>
      <c r="AG82" s="233">
        <v>53.3233252697922</v>
      </c>
      <c r="AH82" s="233">
        <v>62.245842281963903</v>
      </c>
      <c r="AI82" s="233">
        <v>65.612953707285996</v>
      </c>
      <c r="AJ82" s="233">
        <v>35.185934981795398</v>
      </c>
      <c r="AK82" s="233">
        <v>47.475563419289202</v>
      </c>
      <c r="AL82" s="233">
        <v>18.413680730658001</v>
      </c>
      <c r="AM82" s="236">
        <v>6.1240522931642003</v>
      </c>
    </row>
    <row r="83" spans="1:39">
      <c r="A83" s="236" t="s">
        <v>327</v>
      </c>
      <c r="B83" s="237">
        <v>360</v>
      </c>
      <c r="C83" s="236" t="s">
        <v>328</v>
      </c>
      <c r="D83" s="236" t="s">
        <v>329</v>
      </c>
      <c r="E83" s="236" t="s">
        <v>330</v>
      </c>
      <c r="F83" s="238">
        <v>137717.861</v>
      </c>
      <c r="G83" s="238">
        <v>135805.76000000004</v>
      </c>
      <c r="H83" s="235">
        <f t="shared" si="1"/>
        <v>273523.62100000004</v>
      </c>
      <c r="I83" s="236">
        <v>4.1242335376615999</v>
      </c>
      <c r="J83" s="236">
        <v>9.7895555836794905</v>
      </c>
      <c r="K83" s="236">
        <v>28.2206542987722</v>
      </c>
      <c r="L83" s="236">
        <v>45.504409089765403</v>
      </c>
      <c r="M83" s="236">
        <v>10.932232919006999</v>
      </c>
      <c r="N83" s="236">
        <v>18.431098715092698</v>
      </c>
      <c r="O83" s="236">
        <v>71.779345701227797</v>
      </c>
      <c r="P83" s="236">
        <v>17.2837547909932</v>
      </c>
      <c r="Q83" s="236">
        <v>54.443338532816902</v>
      </c>
      <c r="R83" s="236">
        <v>64.075985081073</v>
      </c>
      <c r="S83" s="236">
        <v>67.190620027026597</v>
      </c>
      <c r="T83" s="236">
        <v>37.159583741823702</v>
      </c>
      <c r="U83" s="236">
        <v>49.906865236033397</v>
      </c>
      <c r="V83" s="236">
        <v>51.8474937815893</v>
      </c>
      <c r="W83" s="236">
        <v>17.336007168410902</v>
      </c>
      <c r="X83" s="236">
        <v>4.5887256742012097</v>
      </c>
      <c r="Y83" s="236">
        <v>4.02723933922955</v>
      </c>
      <c r="Z83" s="236">
        <v>9.5152343596530908</v>
      </c>
      <c r="AA83" s="236">
        <v>27.156634849578001</v>
      </c>
      <c r="AB83" s="236">
        <v>43.993468794629202</v>
      </c>
      <c r="AC83" s="236">
        <v>10.4749293878091</v>
      </c>
      <c r="AD83" s="236">
        <v>17.641400489924902</v>
      </c>
      <c r="AE83" s="236">
        <v>72.843365150422002</v>
      </c>
      <c r="AF83" s="236">
        <v>16.8368339450512</v>
      </c>
      <c r="AG83" s="236">
        <v>54.3569393697341</v>
      </c>
      <c r="AH83" s="236">
        <v>64.081660368061705</v>
      </c>
      <c r="AI83" s="236">
        <v>67.076343433372799</v>
      </c>
      <c r="AJ83" s="236">
        <v>37.520105424682903</v>
      </c>
      <c r="AK83" s="236">
        <v>50.239509488321502</v>
      </c>
      <c r="AL83" s="236">
        <v>18.486425780687899</v>
      </c>
      <c r="AM83" s="233">
        <v>5.7670217170492499</v>
      </c>
    </row>
    <row r="84" spans="1:39">
      <c r="A84" s="233" t="s">
        <v>331</v>
      </c>
      <c r="B84" s="234">
        <v>364</v>
      </c>
      <c r="C84" s="233" t="s">
        <v>332</v>
      </c>
      <c r="D84" s="233" t="s">
        <v>333</v>
      </c>
      <c r="E84" s="233" t="s">
        <v>334</v>
      </c>
      <c r="F84" s="235">
        <v>42408.405999999995</v>
      </c>
      <c r="G84" s="235">
        <v>41584.546999999999</v>
      </c>
      <c r="H84" s="235">
        <f t="shared" si="1"/>
        <v>83992.952999999994</v>
      </c>
      <c r="I84" s="233">
        <v>3.4813530002935602</v>
      </c>
      <c r="J84" s="233">
        <v>8.7676372269933491</v>
      </c>
      <c r="K84" s="233">
        <v>23.9391154587342</v>
      </c>
      <c r="L84" s="233">
        <v>40.195001396001501</v>
      </c>
      <c r="M84" s="233">
        <v>9.6101407995872599</v>
      </c>
      <c r="N84" s="233">
        <v>15.171478231740901</v>
      </c>
      <c r="O84" s="233">
        <v>76.060884541265807</v>
      </c>
      <c r="P84" s="233">
        <v>16.255885937267202</v>
      </c>
      <c r="Q84" s="233">
        <v>59.037925802409603</v>
      </c>
      <c r="R84" s="233">
        <v>67.766153162722802</v>
      </c>
      <c r="S84" s="233">
        <v>70.843079947228603</v>
      </c>
      <c r="T84" s="233">
        <v>42.782039865142401</v>
      </c>
      <c r="U84" s="233">
        <v>54.587194009961401</v>
      </c>
      <c r="V84" s="233">
        <v>56.419492990144803</v>
      </c>
      <c r="W84" s="233">
        <v>17.0229587388562</v>
      </c>
      <c r="X84" s="233">
        <v>5.2178045940372</v>
      </c>
      <c r="Y84" s="233">
        <v>3.3465235459426501</v>
      </c>
      <c r="Z84" s="233">
        <v>8.5621709183693007</v>
      </c>
      <c r="AA84" s="233">
        <v>23.275117653963498</v>
      </c>
      <c r="AB84" s="233">
        <v>38.781519205929001</v>
      </c>
      <c r="AC84" s="233">
        <v>9.4661490393025201</v>
      </c>
      <c r="AD84" s="233">
        <v>14.712946735594199</v>
      </c>
      <c r="AE84" s="233">
        <v>76.724882346036495</v>
      </c>
      <c r="AF84" s="233">
        <v>15.506401551965499</v>
      </c>
      <c r="AG84" s="233">
        <v>59.771946223042299</v>
      </c>
      <c r="AH84" s="233">
        <v>68.583788234832795</v>
      </c>
      <c r="AI84" s="233">
        <v>71.822696247167698</v>
      </c>
      <c r="AJ84" s="233">
        <v>44.265544671076903</v>
      </c>
      <c r="AK84" s="233">
        <v>56.316294695202203</v>
      </c>
      <c r="AL84" s="233">
        <v>16.9529361229941</v>
      </c>
      <c r="AM84" s="236">
        <v>4.9021860988687997</v>
      </c>
    </row>
    <row r="85" spans="1:39">
      <c r="A85" s="236" t="s">
        <v>335</v>
      </c>
      <c r="B85" s="237">
        <v>368</v>
      </c>
      <c r="C85" s="236" t="s">
        <v>336</v>
      </c>
      <c r="D85" s="236" t="s">
        <v>337</v>
      </c>
      <c r="E85" s="236" t="s">
        <v>338</v>
      </c>
      <c r="F85" s="238">
        <v>20357.778000000002</v>
      </c>
      <c r="G85" s="238">
        <v>19864.725000000002</v>
      </c>
      <c r="H85" s="235">
        <f t="shared" si="1"/>
        <v>40222.503000000004</v>
      </c>
      <c r="I85" s="236">
        <v>6.59793088639206</v>
      </c>
      <c r="J85" s="236">
        <v>15.9689356883181</v>
      </c>
      <c r="K85" s="236">
        <v>41.634330834170903</v>
      </c>
      <c r="L85" s="236">
        <v>61.434686391375401</v>
      </c>
      <c r="M85" s="236">
        <v>16.387285182381</v>
      </c>
      <c r="N85" s="236">
        <v>25.665395145852798</v>
      </c>
      <c r="O85" s="236">
        <v>58.365669165829097</v>
      </c>
      <c r="P85" s="236">
        <v>19.800355557204401</v>
      </c>
      <c r="Q85" s="236">
        <v>49.537025511286402</v>
      </c>
      <c r="R85" s="236">
        <v>53.861031556312099</v>
      </c>
      <c r="S85" s="236">
        <v>55.637635171969897</v>
      </c>
      <c r="T85" s="236">
        <v>29.736669954082</v>
      </c>
      <c r="U85" s="236">
        <v>35.8372796147655</v>
      </c>
      <c r="V85" s="236">
        <v>36.886589379592998</v>
      </c>
      <c r="W85" s="236">
        <v>8.82864365454272</v>
      </c>
      <c r="X85" s="236">
        <v>2.72803399385919</v>
      </c>
      <c r="Y85" s="236">
        <v>6.4007408256607903</v>
      </c>
      <c r="Z85" s="236">
        <v>15.4742094840674</v>
      </c>
      <c r="AA85" s="236">
        <v>40.3148642492352</v>
      </c>
      <c r="AB85" s="236">
        <v>59.6197475228253</v>
      </c>
      <c r="AC85" s="236">
        <v>15.850193184657501</v>
      </c>
      <c r="AD85" s="236">
        <v>24.840654765167798</v>
      </c>
      <c r="AE85" s="236">
        <v>59.6851357507648</v>
      </c>
      <c r="AF85" s="236">
        <v>19.3048832735901</v>
      </c>
      <c r="AG85" s="236">
        <v>49.155707378756603</v>
      </c>
      <c r="AH85" s="236">
        <v>54.202938016897001</v>
      </c>
      <c r="AI85" s="236">
        <v>56.292475800351198</v>
      </c>
      <c r="AJ85" s="236">
        <v>29.850824105166499</v>
      </c>
      <c r="AK85" s="236">
        <v>36.987592526760999</v>
      </c>
      <c r="AL85" s="236">
        <v>10.529428372008301</v>
      </c>
      <c r="AM85" s="233">
        <v>3.3926599504136998</v>
      </c>
    </row>
    <row r="86" spans="1:39">
      <c r="A86" s="233" t="s">
        <v>339</v>
      </c>
      <c r="B86" s="234">
        <v>372</v>
      </c>
      <c r="C86" s="233" t="s">
        <v>340</v>
      </c>
      <c r="D86" s="233" t="s">
        <v>67</v>
      </c>
      <c r="E86" s="233" t="s">
        <v>68</v>
      </c>
      <c r="F86" s="235">
        <v>2451.3489999999997</v>
      </c>
      <c r="G86" s="235">
        <v>2486.4470000000001</v>
      </c>
      <c r="H86" s="235">
        <f t="shared" si="1"/>
        <v>4937.7960000000003</v>
      </c>
      <c r="I86" s="233">
        <v>3.01149909597765</v>
      </c>
      <c r="J86" s="233">
        <v>7.8094198659286302</v>
      </c>
      <c r="K86" s="233">
        <v>22.513169325886899</v>
      </c>
      <c r="L86" s="233">
        <v>33.970643097273303</v>
      </c>
      <c r="M86" s="233">
        <v>9.3068364260113992</v>
      </c>
      <c r="N86" s="233">
        <v>14.703749459958299</v>
      </c>
      <c r="O86" s="233">
        <v>77.486830674113094</v>
      </c>
      <c r="P86" s="233">
        <v>11.4574737713864</v>
      </c>
      <c r="Q86" s="233">
        <v>48.1083476454181</v>
      </c>
      <c r="R86" s="233">
        <v>60.126182803533403</v>
      </c>
      <c r="S86" s="233">
        <v>65.322719528293106</v>
      </c>
      <c r="T86" s="233">
        <v>36.650873874031703</v>
      </c>
      <c r="U86" s="233">
        <v>53.865245756906702</v>
      </c>
      <c r="V86" s="233">
        <v>58.366255757774198</v>
      </c>
      <c r="W86" s="233">
        <v>29.378483028695001</v>
      </c>
      <c r="X86" s="233">
        <v>12.16411114582</v>
      </c>
      <c r="Y86" s="233">
        <v>2.8115269838458001</v>
      </c>
      <c r="Z86" s="233">
        <v>7.2697294461515396</v>
      </c>
      <c r="AA86" s="233">
        <v>21.0505338175277</v>
      </c>
      <c r="AB86" s="233">
        <v>31.900579466250601</v>
      </c>
      <c r="AC86" s="233">
        <v>8.6850953513248292</v>
      </c>
      <c r="AD86" s="233">
        <v>13.780804371376201</v>
      </c>
      <c r="AE86" s="233">
        <v>78.949466182472307</v>
      </c>
      <c r="AF86" s="233">
        <v>10.850045648722899</v>
      </c>
      <c r="AG86" s="233">
        <v>47.578318219290999</v>
      </c>
      <c r="AH86" s="233">
        <v>59.594322525260097</v>
      </c>
      <c r="AI86" s="233">
        <v>64.838006649724406</v>
      </c>
      <c r="AJ86" s="233">
        <v>36.728272570568201</v>
      </c>
      <c r="AK86" s="233">
        <v>53.987961001001601</v>
      </c>
      <c r="AL86" s="233">
        <v>31.371147963181201</v>
      </c>
      <c r="AM86" s="236">
        <v>14.1114595327478</v>
      </c>
    </row>
    <row r="87" spans="1:39">
      <c r="A87" s="236" t="s">
        <v>341</v>
      </c>
      <c r="B87" s="237">
        <v>376</v>
      </c>
      <c r="C87" s="236" t="s">
        <v>342</v>
      </c>
      <c r="D87" s="236" t="s">
        <v>343</v>
      </c>
      <c r="E87" s="236" t="s">
        <v>344</v>
      </c>
      <c r="F87" s="238">
        <v>4308.1169999999993</v>
      </c>
      <c r="G87" s="238">
        <v>4347.424</v>
      </c>
      <c r="H87" s="235">
        <f t="shared" si="1"/>
        <v>8655.5409999999993</v>
      </c>
      <c r="I87" s="236">
        <v>4.42752417519731</v>
      </c>
      <c r="J87" s="236">
        <v>10.673774446853299</v>
      </c>
      <c r="K87" s="236">
        <v>28.8219969724578</v>
      </c>
      <c r="L87" s="236">
        <v>44.158176452243701</v>
      </c>
      <c r="M87" s="236">
        <v>11.3013404864625</v>
      </c>
      <c r="N87" s="236">
        <v>18.1482225256044</v>
      </c>
      <c r="O87" s="236">
        <v>71.178003027542204</v>
      </c>
      <c r="P87" s="236">
        <v>15.336179479785899</v>
      </c>
      <c r="Q87" s="236">
        <v>47.737308568474702</v>
      </c>
      <c r="R87" s="236">
        <v>56.802979425667303</v>
      </c>
      <c r="S87" s="236">
        <v>61.190489826122601</v>
      </c>
      <c r="T87" s="236">
        <v>32.401129088688798</v>
      </c>
      <c r="U87" s="236">
        <v>45.854310346336703</v>
      </c>
      <c r="V87" s="236">
        <v>49.5226981888515</v>
      </c>
      <c r="W87" s="236">
        <v>23.440694459067501</v>
      </c>
      <c r="X87" s="236">
        <v>9.9875132014195902</v>
      </c>
      <c r="Y87" s="236">
        <v>4.1379313737620302</v>
      </c>
      <c r="Z87" s="236">
        <v>9.96324358681394</v>
      </c>
      <c r="AA87" s="236">
        <v>26.861157771670399</v>
      </c>
      <c r="AB87" s="236">
        <v>41.174955656411797</v>
      </c>
      <c r="AC87" s="236">
        <v>10.5230145129166</v>
      </c>
      <c r="AD87" s="236">
        <v>16.8979141848565</v>
      </c>
      <c r="AE87" s="236">
        <v>73.138842228329594</v>
      </c>
      <c r="AF87" s="236">
        <v>14.313797884741399</v>
      </c>
      <c r="AG87" s="236">
        <v>46.316179930550703</v>
      </c>
      <c r="AH87" s="236">
        <v>55.853734909589797</v>
      </c>
      <c r="AI87" s="236">
        <v>60.668891450880899</v>
      </c>
      <c r="AJ87" s="236">
        <v>32.002382045809398</v>
      </c>
      <c r="AK87" s="236">
        <v>46.355093566139502</v>
      </c>
      <c r="AL87" s="236">
        <v>26.822662297778901</v>
      </c>
      <c r="AM87" s="233">
        <v>12.4699507774487</v>
      </c>
    </row>
    <row r="88" spans="1:39">
      <c r="A88" s="233" t="s">
        <v>345</v>
      </c>
      <c r="B88" s="234">
        <v>380</v>
      </c>
      <c r="C88" s="233" t="s">
        <v>346</v>
      </c>
      <c r="D88" s="233" t="s">
        <v>67</v>
      </c>
      <c r="E88" s="233" t="s">
        <v>68</v>
      </c>
      <c r="F88" s="235">
        <v>29437.724999999995</v>
      </c>
      <c r="G88" s="235">
        <v>31024.103000000003</v>
      </c>
      <c r="H88" s="235">
        <f t="shared" si="1"/>
        <v>60461.827999999994</v>
      </c>
      <c r="I88" s="233">
        <v>1.7229446045385399</v>
      </c>
      <c r="J88" s="233">
        <v>4.5554118014937197</v>
      </c>
      <c r="K88" s="233">
        <v>14.5079397076889</v>
      </c>
      <c r="L88" s="233">
        <v>24.622495374050899</v>
      </c>
      <c r="M88" s="233">
        <v>5.98717703066181</v>
      </c>
      <c r="N88" s="233">
        <v>9.9525279061951508</v>
      </c>
      <c r="O88" s="233">
        <v>85.492060292311095</v>
      </c>
      <c r="P88" s="233">
        <v>10.114555666362</v>
      </c>
      <c r="Q88" s="233">
        <v>44.679197006093297</v>
      </c>
      <c r="R88" s="233">
        <v>59.517332646249301</v>
      </c>
      <c r="S88" s="233">
        <v>65.657964940138697</v>
      </c>
      <c r="T88" s="233">
        <v>34.564641339731303</v>
      </c>
      <c r="U88" s="233">
        <v>55.543409273776703</v>
      </c>
      <c r="V88" s="233">
        <v>61.490389825010297</v>
      </c>
      <c r="W88" s="233">
        <v>40.812863286217897</v>
      </c>
      <c r="X88" s="233">
        <v>19.834095352172401</v>
      </c>
      <c r="Y88" s="233">
        <v>1.5335797428890099</v>
      </c>
      <c r="Z88" s="233">
        <v>4.0551744786306303</v>
      </c>
      <c r="AA88" s="233">
        <v>12.9558651359226</v>
      </c>
      <c r="AB88" s="233">
        <v>22.040349225746201</v>
      </c>
      <c r="AC88" s="233">
        <v>5.3461804756089499</v>
      </c>
      <c r="AD88" s="233">
        <v>8.9006906572919302</v>
      </c>
      <c r="AE88" s="233">
        <v>87.044134864077407</v>
      </c>
      <c r="AF88" s="233">
        <v>9.0844840898236896</v>
      </c>
      <c r="AG88" s="233">
        <v>41.380094197551301</v>
      </c>
      <c r="AH88" s="233">
        <v>55.941668788782899</v>
      </c>
      <c r="AI88" s="233">
        <v>62.197482912557703</v>
      </c>
      <c r="AJ88" s="233">
        <v>32.295610107727597</v>
      </c>
      <c r="AK88" s="233">
        <v>53.112998822733999</v>
      </c>
      <c r="AL88" s="233">
        <v>45.664040666526198</v>
      </c>
      <c r="AM88" s="236">
        <v>24.8466519515197</v>
      </c>
    </row>
    <row r="89" spans="1:39">
      <c r="A89" s="236" t="s">
        <v>347</v>
      </c>
      <c r="B89" s="237">
        <v>388</v>
      </c>
      <c r="C89" s="236" t="s">
        <v>348</v>
      </c>
      <c r="D89" s="236" t="s">
        <v>349</v>
      </c>
      <c r="E89" s="236" t="s">
        <v>350</v>
      </c>
      <c r="F89" s="238">
        <v>1469.6409999999998</v>
      </c>
      <c r="G89" s="238">
        <v>1491.5200000000002</v>
      </c>
      <c r="H89" s="235">
        <f t="shared" si="1"/>
        <v>2961.1610000000001</v>
      </c>
      <c r="I89" s="236">
        <v>2.9647623107619498</v>
      </c>
      <c r="J89" s="236">
        <v>7.51646790636351</v>
      </c>
      <c r="K89" s="236">
        <v>24.187819320666101</v>
      </c>
      <c r="L89" s="236">
        <v>43.8485908734406</v>
      </c>
      <c r="M89" s="236">
        <v>9.6191408005095393</v>
      </c>
      <c r="N89" s="236">
        <v>16.671351414302499</v>
      </c>
      <c r="O89" s="236">
        <v>75.812180679333906</v>
      </c>
      <c r="P89" s="236">
        <v>19.660771552774602</v>
      </c>
      <c r="Q89" s="236">
        <v>53.660968527841398</v>
      </c>
      <c r="R89" s="236">
        <v>63.439702265716498</v>
      </c>
      <c r="S89" s="236">
        <v>67.176477438806501</v>
      </c>
      <c r="T89" s="236">
        <v>34.0001969750668</v>
      </c>
      <c r="U89" s="236">
        <v>47.515705886031903</v>
      </c>
      <c r="V89" s="236">
        <v>50.348336746848901</v>
      </c>
      <c r="W89" s="236">
        <v>22.151212151492501</v>
      </c>
      <c r="X89" s="236">
        <v>8.6357032405274001</v>
      </c>
      <c r="Y89" s="236">
        <v>2.7375817944285599</v>
      </c>
      <c r="Z89" s="236">
        <v>7.0723299503100598</v>
      </c>
      <c r="AA89" s="236">
        <v>22.9737516187738</v>
      </c>
      <c r="AB89" s="236">
        <v>41.852076879631703</v>
      </c>
      <c r="AC89" s="236">
        <v>9.2308613873247793</v>
      </c>
      <c r="AD89" s="236">
        <v>15.9014216684637</v>
      </c>
      <c r="AE89" s="236">
        <v>77.026248381226196</v>
      </c>
      <c r="AF89" s="236">
        <v>18.878325260857899</v>
      </c>
      <c r="AG89" s="236">
        <v>53.8162413641627</v>
      </c>
      <c r="AH89" s="236">
        <v>63.846220769366802</v>
      </c>
      <c r="AI89" s="236">
        <v>67.388197641582096</v>
      </c>
      <c r="AJ89" s="236">
        <v>34.9379161033049</v>
      </c>
      <c r="AK89" s="236">
        <v>48.509872380724197</v>
      </c>
      <c r="AL89" s="236">
        <v>23.210007017063401</v>
      </c>
      <c r="AM89" s="233">
        <v>9.63805073964412</v>
      </c>
    </row>
    <row r="90" spans="1:39">
      <c r="A90" s="233" t="s">
        <v>351</v>
      </c>
      <c r="B90" s="234">
        <v>392</v>
      </c>
      <c r="C90" s="233" t="s">
        <v>352</v>
      </c>
      <c r="D90" s="233" t="s">
        <v>353</v>
      </c>
      <c r="E90" s="233" t="s">
        <v>354</v>
      </c>
      <c r="F90" s="235">
        <v>61753.044999999991</v>
      </c>
      <c r="G90" s="235">
        <v>64723.413</v>
      </c>
      <c r="H90" s="235">
        <f t="shared" si="1"/>
        <v>126476.45799999998</v>
      </c>
      <c r="I90" s="233">
        <v>1.7463138930857001</v>
      </c>
      <c r="J90" s="233">
        <v>4.3954442872283401</v>
      </c>
      <c r="K90" s="233">
        <v>13.5572689804498</v>
      </c>
      <c r="L90" s="233">
        <v>23.595158419676299</v>
      </c>
      <c r="M90" s="233">
        <v>5.4150519851189598</v>
      </c>
      <c r="N90" s="233">
        <v>9.1618246932214706</v>
      </c>
      <c r="O90" s="233">
        <v>86.442731019550195</v>
      </c>
      <c r="P90" s="233">
        <v>10.0378894392265</v>
      </c>
      <c r="Q90" s="233">
        <v>43.785405504331202</v>
      </c>
      <c r="R90" s="233">
        <v>56.252451120622098</v>
      </c>
      <c r="S90" s="233">
        <v>63.034955095941299</v>
      </c>
      <c r="T90" s="233">
        <v>33.747516065104698</v>
      </c>
      <c r="U90" s="233">
        <v>52.997065656714803</v>
      </c>
      <c r="V90" s="233">
        <v>60.375432973776597</v>
      </c>
      <c r="W90" s="233">
        <v>42.657325515219</v>
      </c>
      <c r="X90" s="233">
        <v>23.407775923608899</v>
      </c>
      <c r="Y90" s="233">
        <v>1.56666233894097</v>
      </c>
      <c r="Z90" s="233">
        <v>3.94258067261902</v>
      </c>
      <c r="AA90" s="233">
        <v>12.191031031762099</v>
      </c>
      <c r="AB90" s="233">
        <v>21.255675794825098</v>
      </c>
      <c r="AC90" s="233">
        <v>4.8687913907985099</v>
      </c>
      <c r="AD90" s="233">
        <v>8.2484503591430407</v>
      </c>
      <c r="AE90" s="233">
        <v>87.808968968237906</v>
      </c>
      <c r="AF90" s="233">
        <v>9.0646447630630202</v>
      </c>
      <c r="AG90" s="233">
        <v>40.108802438726997</v>
      </c>
      <c r="AH90" s="233">
        <v>51.989420025744003</v>
      </c>
      <c r="AI90" s="233">
        <v>58.688708648846301</v>
      </c>
      <c r="AJ90" s="233">
        <v>31.044157675664</v>
      </c>
      <c r="AK90" s="233">
        <v>49.624063885783201</v>
      </c>
      <c r="AL90" s="233">
        <v>47.700166529511002</v>
      </c>
      <c r="AM90" s="236">
        <v>29.120260319391701</v>
      </c>
    </row>
    <row r="91" spans="1:39">
      <c r="A91" s="236" t="s">
        <v>355</v>
      </c>
      <c r="B91" s="237">
        <v>400</v>
      </c>
      <c r="C91" s="236" t="s">
        <v>356</v>
      </c>
      <c r="D91" s="236" t="s">
        <v>357</v>
      </c>
      <c r="E91" s="236" t="s">
        <v>358</v>
      </c>
      <c r="F91" s="238">
        <v>5165.9790000000003</v>
      </c>
      <c r="G91" s="238">
        <v>5037.161000000001</v>
      </c>
      <c r="H91" s="235">
        <f t="shared" si="1"/>
        <v>10203.140000000001</v>
      </c>
      <c r="I91" s="236">
        <v>5.2987981015239303</v>
      </c>
      <c r="J91" s="236">
        <v>12.871720184087801</v>
      </c>
      <c r="K91" s="236">
        <v>35.366162220038298</v>
      </c>
      <c r="L91" s="236">
        <v>54.279748028677702</v>
      </c>
      <c r="M91" s="236">
        <v>13.956570997173101</v>
      </c>
      <c r="N91" s="236">
        <v>22.494442035950499</v>
      </c>
      <c r="O91" s="236">
        <v>64.633837779961695</v>
      </c>
      <c r="P91" s="236">
        <v>18.9135858086394</v>
      </c>
      <c r="Q91" s="236">
        <v>53.497878896810398</v>
      </c>
      <c r="R91" s="236">
        <v>59.4804235726588</v>
      </c>
      <c r="S91" s="236">
        <v>61.101785696837297</v>
      </c>
      <c r="T91" s="236">
        <v>34.584293088170902</v>
      </c>
      <c r="U91" s="236">
        <v>42.1881998881979</v>
      </c>
      <c r="V91" s="236">
        <v>43.478655515253998</v>
      </c>
      <c r="W91" s="236">
        <v>11.1359588831514</v>
      </c>
      <c r="X91" s="236">
        <v>3.5320520831244102</v>
      </c>
      <c r="Y91" s="236">
        <v>5.3141073092588798</v>
      </c>
      <c r="Z91" s="236">
        <v>12.9487984589531</v>
      </c>
      <c r="AA91" s="236">
        <v>35.692571082216801</v>
      </c>
      <c r="AB91" s="236">
        <v>54.747589618011801</v>
      </c>
      <c r="AC91" s="236">
        <v>14.119642167537</v>
      </c>
      <c r="AD91" s="236">
        <v>22.743772623263599</v>
      </c>
      <c r="AE91" s="236">
        <v>64.307428917783199</v>
      </c>
      <c r="AF91" s="236">
        <v>19.055018535795</v>
      </c>
      <c r="AG91" s="236">
        <v>52.589438550405603</v>
      </c>
      <c r="AH91" s="236">
        <v>58.549984577117499</v>
      </c>
      <c r="AI91" s="236">
        <v>60.255110398423099</v>
      </c>
      <c r="AJ91" s="236">
        <v>33.534420014610603</v>
      </c>
      <c r="AK91" s="236">
        <v>41.200091862628099</v>
      </c>
      <c r="AL91" s="236">
        <v>11.7179903673777</v>
      </c>
      <c r="AM91" s="233">
        <v>4.0523185193601003</v>
      </c>
    </row>
    <row r="92" spans="1:39">
      <c r="A92" s="233" t="s">
        <v>359</v>
      </c>
      <c r="B92" s="234">
        <v>398</v>
      </c>
      <c r="C92" s="233" t="s">
        <v>360</v>
      </c>
      <c r="D92" s="233" t="s">
        <v>361</v>
      </c>
      <c r="E92" s="233" t="s">
        <v>362</v>
      </c>
      <c r="F92" s="235">
        <v>9112.9390000000021</v>
      </c>
      <c r="G92" s="235">
        <v>9663.7679999999982</v>
      </c>
      <c r="H92" s="235">
        <f t="shared" si="1"/>
        <v>18776.707000000002</v>
      </c>
      <c r="I92" s="233">
        <v>4.7276340542282398</v>
      </c>
      <c r="J92" s="233">
        <v>11.769573025750899</v>
      </c>
      <c r="K92" s="233">
        <v>28.419974532601302</v>
      </c>
      <c r="L92" s="233">
        <v>44.154263968330099</v>
      </c>
      <c r="M92" s="233">
        <v>11.3470900518899</v>
      </c>
      <c r="N92" s="233">
        <v>16.6504015068505</v>
      </c>
      <c r="O92" s="233">
        <v>71.580025467398698</v>
      </c>
      <c r="P92" s="233">
        <v>15.734289435728799</v>
      </c>
      <c r="Q92" s="233">
        <v>52.515155263843901</v>
      </c>
      <c r="R92" s="233">
        <v>63.233302306762702</v>
      </c>
      <c r="S92" s="233">
        <v>66.647364638802401</v>
      </c>
      <c r="T92" s="233">
        <v>36.780865828115203</v>
      </c>
      <c r="U92" s="233">
        <v>50.913075203073703</v>
      </c>
      <c r="V92" s="233">
        <v>52.674681883666501</v>
      </c>
      <c r="W92" s="233">
        <v>19.064870203554701</v>
      </c>
      <c r="X92" s="233">
        <v>4.9326608285962301</v>
      </c>
      <c r="Y92" s="233">
        <v>4.1849885994627298</v>
      </c>
      <c r="Z92" s="233">
        <v>10.387332965586999</v>
      </c>
      <c r="AA92" s="233">
        <v>25.127126497297802</v>
      </c>
      <c r="AB92" s="233">
        <v>39.392024748366801</v>
      </c>
      <c r="AC92" s="233">
        <v>10.0117006524735</v>
      </c>
      <c r="AD92" s="233">
        <v>14.7397935317108</v>
      </c>
      <c r="AE92" s="233">
        <v>74.872873502702205</v>
      </c>
      <c r="AF92" s="233">
        <v>14.264898251069001</v>
      </c>
      <c r="AG92" s="233">
        <v>50.243521269828598</v>
      </c>
      <c r="AH92" s="233">
        <v>62.020711350949703</v>
      </c>
      <c r="AI92" s="233">
        <v>66.452990491669894</v>
      </c>
      <c r="AJ92" s="233">
        <v>35.978623018759599</v>
      </c>
      <c r="AK92" s="233">
        <v>52.188092240600902</v>
      </c>
      <c r="AL92" s="233">
        <v>24.6293522328736</v>
      </c>
      <c r="AM92" s="236">
        <v>8.4198830110322795</v>
      </c>
    </row>
    <row r="93" spans="1:39">
      <c r="A93" s="236" t="s">
        <v>363</v>
      </c>
      <c r="B93" s="237">
        <v>404</v>
      </c>
      <c r="C93" s="236" t="s">
        <v>364</v>
      </c>
      <c r="D93" s="236" t="s">
        <v>365</v>
      </c>
      <c r="E93" s="236" t="s">
        <v>366</v>
      </c>
      <c r="F93" s="238">
        <v>26718.527000000002</v>
      </c>
      <c r="G93" s="238">
        <v>27052.772999999994</v>
      </c>
      <c r="H93" s="235">
        <f t="shared" si="1"/>
        <v>53771.299999999996</v>
      </c>
      <c r="I93" s="236">
        <v>6.4323024388518801</v>
      </c>
      <c r="J93" s="236">
        <v>15.6984224269285</v>
      </c>
      <c r="K93" s="236">
        <v>42.204468822241701</v>
      </c>
      <c r="L93" s="236">
        <v>61.713389579160797</v>
      </c>
      <c r="M93" s="236">
        <v>16.7999808141283</v>
      </c>
      <c r="N93" s="236">
        <v>26.506046395313199</v>
      </c>
      <c r="O93" s="236">
        <v>57.795531177758399</v>
      </c>
      <c r="P93" s="236">
        <v>19.5089207569191</v>
      </c>
      <c r="Q93" s="236">
        <v>49.124798838351097</v>
      </c>
      <c r="R93" s="236">
        <v>53.623807546590598</v>
      </c>
      <c r="S93" s="236">
        <v>55.240695145492197</v>
      </c>
      <c r="T93" s="236">
        <v>29.615878081432001</v>
      </c>
      <c r="U93" s="236">
        <v>35.731774388573101</v>
      </c>
      <c r="V93" s="236">
        <v>36.834201701121202</v>
      </c>
      <c r="W93" s="236">
        <v>8.6707323394072908</v>
      </c>
      <c r="X93" s="236">
        <v>2.5548360322661501</v>
      </c>
      <c r="Y93" s="236">
        <v>6.3081490698384703</v>
      </c>
      <c r="Z93" s="236">
        <v>15.426287040560499</v>
      </c>
      <c r="AA93" s="236">
        <v>41.613867535203802</v>
      </c>
      <c r="AB93" s="236">
        <v>61.020358944513802</v>
      </c>
      <c r="AC93" s="236">
        <v>16.586747094920799</v>
      </c>
      <c r="AD93" s="236">
        <v>26.187580494643299</v>
      </c>
      <c r="AE93" s="236">
        <v>58.386132464796198</v>
      </c>
      <c r="AF93" s="236">
        <v>19.406491409309901</v>
      </c>
      <c r="AG93" s="236">
        <v>48.517253123892203</v>
      </c>
      <c r="AH93" s="236">
        <v>53.482676109200703</v>
      </c>
      <c r="AI93" s="236">
        <v>55.336256773597803</v>
      </c>
      <c r="AJ93" s="236">
        <v>29.110761714582299</v>
      </c>
      <c r="AK93" s="236">
        <v>35.929765364287803</v>
      </c>
      <c r="AL93" s="236">
        <v>9.8688793409039395</v>
      </c>
      <c r="AM93" s="233">
        <v>3.0498756911984</v>
      </c>
    </row>
    <row r="94" spans="1:39">
      <c r="A94" s="233" t="s">
        <v>367</v>
      </c>
      <c r="B94" s="234">
        <v>296</v>
      </c>
      <c r="C94" s="233" t="s">
        <v>368</v>
      </c>
      <c r="D94" s="233" t="s">
        <v>87</v>
      </c>
      <c r="E94" s="233" t="s">
        <v>88</v>
      </c>
      <c r="F94" s="235">
        <v>58.743999999999993</v>
      </c>
      <c r="G94" s="235">
        <v>60.702000000000005</v>
      </c>
      <c r="H94" s="235">
        <f t="shared" si="1"/>
        <v>119.446</v>
      </c>
      <c r="I94" s="233">
        <v>5.27208429561201</v>
      </c>
      <c r="J94" s="233">
        <v>13.587976327944601</v>
      </c>
      <c r="K94" s="233">
        <v>36.280311778291001</v>
      </c>
      <c r="L94" s="233">
        <v>56.715502309468803</v>
      </c>
      <c r="M94" s="233">
        <v>14.737297921478101</v>
      </c>
      <c r="N94" s="233">
        <v>22.692335450346398</v>
      </c>
      <c r="O94" s="233">
        <v>63.719688221708999</v>
      </c>
      <c r="P94" s="233">
        <v>20.435190531177799</v>
      </c>
      <c r="Q94" s="233">
        <v>51.290054849884598</v>
      </c>
      <c r="R94" s="233">
        <v>58.541426096997697</v>
      </c>
      <c r="S94" s="233">
        <v>60.701140300231003</v>
      </c>
      <c r="T94" s="233">
        <v>30.854864318706699</v>
      </c>
      <c r="U94" s="233">
        <v>40.265949769053101</v>
      </c>
      <c r="V94" s="233">
        <v>41.626371247113198</v>
      </c>
      <c r="W94" s="233">
        <v>12.429633371824499</v>
      </c>
      <c r="X94" s="233">
        <v>3.0185479214780599</v>
      </c>
      <c r="Y94" s="233">
        <v>4.8035930454920299</v>
      </c>
      <c r="Z94" s="233">
        <v>12.677415393252501</v>
      </c>
      <c r="AA94" s="233">
        <v>33.649713152862297</v>
      </c>
      <c r="AB94" s="233">
        <v>52.874611835295397</v>
      </c>
      <c r="AC94" s="233">
        <v>13.8423481113704</v>
      </c>
      <c r="AD94" s="233">
        <v>20.972297759609798</v>
      </c>
      <c r="AE94" s="233">
        <v>66.350286847137696</v>
      </c>
      <c r="AF94" s="233">
        <v>19.224898682433</v>
      </c>
      <c r="AG94" s="233">
        <v>51.430726854857099</v>
      </c>
      <c r="AH94" s="233">
        <v>59.418586290987598</v>
      </c>
      <c r="AI94" s="233">
        <v>61.980034737451497</v>
      </c>
      <c r="AJ94" s="233">
        <v>32.205828172424098</v>
      </c>
      <c r="AK94" s="233">
        <v>42.755136055018497</v>
      </c>
      <c r="AL94" s="233">
        <v>14.9195599922806</v>
      </c>
      <c r="AM94" s="236">
        <v>4.37025210968614</v>
      </c>
    </row>
    <row r="95" spans="1:39">
      <c r="A95" s="236" t="s">
        <v>369</v>
      </c>
      <c r="B95" s="237">
        <v>414</v>
      </c>
      <c r="C95" s="236" t="s">
        <v>370</v>
      </c>
      <c r="D95" s="236" t="s">
        <v>371</v>
      </c>
      <c r="E95" s="236" t="s">
        <v>372</v>
      </c>
      <c r="F95" s="238">
        <v>2614.4459999999999</v>
      </c>
      <c r="G95" s="238">
        <v>1656.1169999999995</v>
      </c>
      <c r="H95" s="235">
        <f t="shared" si="1"/>
        <v>4270.5629999999992</v>
      </c>
      <c r="I95" s="236">
        <v>3.3007597752689799</v>
      </c>
      <c r="J95" s="236">
        <v>8.1137979799088598</v>
      </c>
      <c r="K95" s="236">
        <v>20.3994994593942</v>
      </c>
      <c r="L95" s="236">
        <v>32.4989617807244</v>
      </c>
      <c r="M95" s="236">
        <v>8.0634877947490793</v>
      </c>
      <c r="N95" s="236">
        <v>12.285701479485301</v>
      </c>
      <c r="O95" s="236">
        <v>79.600500540605793</v>
      </c>
      <c r="P95" s="236">
        <v>12.099462321330201</v>
      </c>
      <c r="Q95" s="236">
        <v>68.398937814781704</v>
      </c>
      <c r="R95" s="236">
        <v>76.193906430373502</v>
      </c>
      <c r="S95" s="236">
        <v>77.613385436390601</v>
      </c>
      <c r="T95" s="236">
        <v>56.299475493451503</v>
      </c>
      <c r="U95" s="236">
        <v>65.513923115060294</v>
      </c>
      <c r="V95" s="236">
        <v>66.443975492536694</v>
      </c>
      <c r="W95" s="236">
        <v>11.2015627258241</v>
      </c>
      <c r="X95" s="236">
        <v>1.9871151042152599</v>
      </c>
      <c r="Y95" s="236">
        <v>3.9361450777080602</v>
      </c>
      <c r="Z95" s="236">
        <v>9.9943776056338898</v>
      </c>
      <c r="AA95" s="236">
        <v>24.7911828661782</v>
      </c>
      <c r="AB95" s="236">
        <v>39.897190503019601</v>
      </c>
      <c r="AC95" s="236">
        <v>10.0440352493054</v>
      </c>
      <c r="AD95" s="236">
        <v>14.7968052605443</v>
      </c>
      <c r="AE95" s="236">
        <v>75.208817133821796</v>
      </c>
      <c r="AF95" s="236">
        <v>15.106007636841399</v>
      </c>
      <c r="AG95" s="236">
        <v>64.917783475085301</v>
      </c>
      <c r="AH95" s="236">
        <v>71.757288446419295</v>
      </c>
      <c r="AI95" s="236">
        <v>73.260502122615094</v>
      </c>
      <c r="AJ95" s="236">
        <v>49.811775838243904</v>
      </c>
      <c r="AK95" s="236">
        <v>58.154494485773697</v>
      </c>
      <c r="AL95" s="236">
        <v>10.291033658736501</v>
      </c>
      <c r="AM95" s="233">
        <v>1.94831501120668</v>
      </c>
    </row>
    <row r="96" spans="1:39">
      <c r="A96" s="233" t="s">
        <v>373</v>
      </c>
      <c r="B96" s="234">
        <v>417</v>
      </c>
      <c r="C96" s="233" t="s">
        <v>374</v>
      </c>
      <c r="D96" s="233" t="s">
        <v>375</v>
      </c>
      <c r="E96" s="233" t="s">
        <v>376</v>
      </c>
      <c r="F96" s="235">
        <v>3227.2700000000009</v>
      </c>
      <c r="G96" s="235">
        <v>3296.9210000000003</v>
      </c>
      <c r="H96" s="235">
        <f t="shared" si="1"/>
        <v>6524.1910000000007</v>
      </c>
      <c r="I96" s="233">
        <v>5.8413490072196304</v>
      </c>
      <c r="J96" s="233">
        <v>13.6278190054544</v>
      </c>
      <c r="K96" s="233">
        <v>32.423728231327601</v>
      </c>
      <c r="L96" s="233">
        <v>51.313237264287203</v>
      </c>
      <c r="M96" s="233">
        <v>12.196646664469499</v>
      </c>
      <c r="N96" s="233">
        <v>18.7959092258731</v>
      </c>
      <c r="O96" s="233">
        <v>67.576271768672399</v>
      </c>
      <c r="P96" s="233">
        <v>18.889509032959602</v>
      </c>
      <c r="Q96" s="233">
        <v>53.033473835078603</v>
      </c>
      <c r="R96" s="233">
        <v>61.692204244846501</v>
      </c>
      <c r="S96" s="233">
        <v>64.242730964836497</v>
      </c>
      <c r="T96" s="233">
        <v>34.1439648021191</v>
      </c>
      <c r="U96" s="233">
        <v>45.353221931876902</v>
      </c>
      <c r="V96" s="233">
        <v>46.4990032912985</v>
      </c>
      <c r="W96" s="233">
        <v>14.5427979335938</v>
      </c>
      <c r="X96" s="233">
        <v>3.3335408038359602</v>
      </c>
      <c r="Y96" s="233">
        <v>5.3874861031707297</v>
      </c>
      <c r="Z96" s="233">
        <v>12.657107092675</v>
      </c>
      <c r="AA96" s="233">
        <v>30.3998786579705</v>
      </c>
      <c r="AB96" s="233">
        <v>48.219955763496401</v>
      </c>
      <c r="AC96" s="233">
        <v>11.514325193305501</v>
      </c>
      <c r="AD96" s="233">
        <v>17.742771565295499</v>
      </c>
      <c r="AE96" s="233">
        <v>69.600121342029496</v>
      </c>
      <c r="AF96" s="233">
        <v>17.8200771055259</v>
      </c>
      <c r="AG96" s="233">
        <v>51.827147612245497</v>
      </c>
      <c r="AH96" s="233">
        <v>61.370698233373403</v>
      </c>
      <c r="AI96" s="233">
        <v>64.497722336767495</v>
      </c>
      <c r="AJ96" s="233">
        <v>34.0070705067196</v>
      </c>
      <c r="AK96" s="233">
        <v>46.677645231241598</v>
      </c>
      <c r="AL96" s="233">
        <v>17.772973729783999</v>
      </c>
      <c r="AM96" s="236">
        <v>5.1023990052620398</v>
      </c>
    </row>
    <row r="97" spans="1:39">
      <c r="A97" s="236" t="s">
        <v>377</v>
      </c>
      <c r="B97" s="237">
        <v>418</v>
      </c>
      <c r="C97" s="236" t="s">
        <v>378</v>
      </c>
      <c r="D97" s="236" t="s">
        <v>379</v>
      </c>
      <c r="E97" s="236" t="s">
        <v>380</v>
      </c>
      <c r="F97" s="238">
        <v>3651.7939999999999</v>
      </c>
      <c r="G97" s="238">
        <v>3623.7619999999997</v>
      </c>
      <c r="H97" s="235">
        <f t="shared" si="1"/>
        <v>7275.5559999999996</v>
      </c>
      <c r="I97" s="236">
        <v>5.0491119324331404</v>
      </c>
      <c r="J97" s="236">
        <v>12.654401582357799</v>
      </c>
      <c r="K97" s="236">
        <v>35.630373186881698</v>
      </c>
      <c r="L97" s="236">
        <v>58.215009003558897</v>
      </c>
      <c r="M97" s="236">
        <v>14.2482500957071</v>
      </c>
      <c r="N97" s="236">
        <v>22.975971604523998</v>
      </c>
      <c r="O97" s="236">
        <v>64.369626813118302</v>
      </c>
      <c r="P97" s="236">
        <v>22.5846358166771</v>
      </c>
      <c r="Q97" s="236">
        <v>52.987893639848203</v>
      </c>
      <c r="R97" s="236">
        <v>58.950979048411199</v>
      </c>
      <c r="S97" s="236">
        <v>61.034292688921099</v>
      </c>
      <c r="T97" s="236">
        <v>30.403257823171099</v>
      </c>
      <c r="U97" s="236">
        <v>38.449656872243999</v>
      </c>
      <c r="V97" s="236">
        <v>39.822551906344103</v>
      </c>
      <c r="W97" s="236">
        <v>11.381733173270099</v>
      </c>
      <c r="X97" s="236">
        <v>3.3353341241971202</v>
      </c>
      <c r="Y97" s="236">
        <v>4.7941065854575804</v>
      </c>
      <c r="Z97" s="236">
        <v>12.0118125849688</v>
      </c>
      <c r="AA97" s="236">
        <v>33.9167528854639</v>
      </c>
      <c r="AB97" s="236">
        <v>55.738074367188197</v>
      </c>
      <c r="AC97" s="236">
        <v>13.5525705396589</v>
      </c>
      <c r="AD97" s="236">
        <v>21.904940300495099</v>
      </c>
      <c r="AE97" s="236">
        <v>66.083247114536107</v>
      </c>
      <c r="AF97" s="236">
        <v>21.821321481724301</v>
      </c>
      <c r="AG97" s="236">
        <v>53.021179824362399</v>
      </c>
      <c r="AH97" s="236">
        <v>59.528433178846797</v>
      </c>
      <c r="AI97" s="236">
        <v>61.801770424342799</v>
      </c>
      <c r="AJ97" s="236">
        <v>31.199858342638102</v>
      </c>
      <c r="AK97" s="236">
        <v>39.980448942618501</v>
      </c>
      <c r="AL97" s="236">
        <v>13.062067290173699</v>
      </c>
      <c r="AM97" s="233">
        <v>4.2814766901933003</v>
      </c>
    </row>
    <row r="98" spans="1:39">
      <c r="A98" s="233" t="s">
        <v>381</v>
      </c>
      <c r="B98" s="234">
        <v>428</v>
      </c>
      <c r="C98" s="233" t="s">
        <v>382</v>
      </c>
      <c r="D98" s="233" t="s">
        <v>383</v>
      </c>
      <c r="E98" s="233" t="s">
        <v>384</v>
      </c>
      <c r="F98" s="235">
        <v>869.3359999999999</v>
      </c>
      <c r="G98" s="235">
        <v>1016.8660000000003</v>
      </c>
      <c r="H98" s="235">
        <f t="shared" si="1"/>
        <v>1886.2020000000002</v>
      </c>
      <c r="I98" s="233">
        <v>1.9274549497229001</v>
      </c>
      <c r="J98" s="233">
        <v>5.4277149083507599</v>
      </c>
      <c r="K98" s="233">
        <v>16.680715494640399</v>
      </c>
      <c r="L98" s="233">
        <v>28.395446852288199</v>
      </c>
      <c r="M98" s="233">
        <v>7.1871370258520599</v>
      </c>
      <c r="N98" s="233">
        <v>11.2530005862897</v>
      </c>
      <c r="O98" s="233">
        <v>83.319284505359605</v>
      </c>
      <c r="P98" s="233">
        <v>11.7147313576478</v>
      </c>
      <c r="Q98" s="233">
        <v>48.957068109160502</v>
      </c>
      <c r="R98" s="233">
        <v>63.784555138884301</v>
      </c>
      <c r="S98" s="233">
        <v>69.55331364285</v>
      </c>
      <c r="T98" s="233">
        <v>37.242336751512703</v>
      </c>
      <c r="U98" s="233">
        <v>57.8385822852023</v>
      </c>
      <c r="V98" s="233">
        <v>61.965176605935902</v>
      </c>
      <c r="W98" s="233">
        <v>34.362216396199102</v>
      </c>
      <c r="X98" s="233">
        <v>13.7659708625095</v>
      </c>
      <c r="Y98" s="233">
        <v>1.5179374278607001</v>
      </c>
      <c r="Z98" s="233">
        <v>4.3165906088345798</v>
      </c>
      <c r="AA98" s="233">
        <v>13.431528729607599</v>
      </c>
      <c r="AB98" s="233">
        <v>22.733149994421101</v>
      </c>
      <c r="AC98" s="233">
        <v>5.8194321119386299</v>
      </c>
      <c r="AD98" s="233">
        <v>9.1149381207730205</v>
      </c>
      <c r="AE98" s="233">
        <v>86.568471270392394</v>
      </c>
      <c r="AF98" s="233">
        <v>9.3016212648134609</v>
      </c>
      <c r="AG98" s="233">
        <v>40.926739758446402</v>
      </c>
      <c r="AH98" s="233">
        <v>55.721683655051599</v>
      </c>
      <c r="AI98" s="233">
        <v>62.4524970628581</v>
      </c>
      <c r="AJ98" s="233">
        <v>31.625118493633</v>
      </c>
      <c r="AK98" s="233">
        <v>53.150875798044702</v>
      </c>
      <c r="AL98" s="233">
        <v>45.641731511945899</v>
      </c>
      <c r="AM98" s="236">
        <v>24.1159742075343</v>
      </c>
    </row>
    <row r="99" spans="1:39">
      <c r="A99" s="236" t="s">
        <v>385</v>
      </c>
      <c r="B99" s="237">
        <v>422</v>
      </c>
      <c r="C99" s="236" t="s">
        <v>386</v>
      </c>
      <c r="D99" s="236" t="s">
        <v>387</v>
      </c>
      <c r="E99" s="236" t="s">
        <v>388</v>
      </c>
      <c r="F99" s="238">
        <v>3435.7460000000001</v>
      </c>
      <c r="G99" s="238">
        <v>3389.6960000000008</v>
      </c>
      <c r="H99" s="235">
        <f t="shared" si="1"/>
        <v>6825.4420000000009</v>
      </c>
      <c r="I99" s="236">
        <v>3.4101075742318701</v>
      </c>
      <c r="J99" s="236">
        <v>7.9478201508305704</v>
      </c>
      <c r="K99" s="236">
        <v>23.808783238143999</v>
      </c>
      <c r="L99" s="236">
        <v>42.529374391064401</v>
      </c>
      <c r="M99" s="236">
        <v>9.0214866009489807</v>
      </c>
      <c r="N99" s="236">
        <v>15.860963087313401</v>
      </c>
      <c r="O99" s="236">
        <v>76.191216761855998</v>
      </c>
      <c r="P99" s="236">
        <v>18.720591152920399</v>
      </c>
      <c r="Q99" s="236">
        <v>54.210082663808997</v>
      </c>
      <c r="R99" s="236">
        <v>64.913397145306305</v>
      </c>
      <c r="S99" s="236">
        <v>68.154610691267607</v>
      </c>
      <c r="T99" s="236">
        <v>35.489491510888598</v>
      </c>
      <c r="U99" s="236">
        <v>49.434019538347201</v>
      </c>
      <c r="V99" s="236">
        <v>52.253117120845097</v>
      </c>
      <c r="W99" s="236">
        <v>21.981134098047001</v>
      </c>
      <c r="X99" s="236">
        <v>8.0366060705883804</v>
      </c>
      <c r="Y99" s="236">
        <v>3.3237598610541701</v>
      </c>
      <c r="Z99" s="236">
        <v>7.8148103127036697</v>
      </c>
      <c r="AA99" s="236">
        <v>24.1789580023996</v>
      </c>
      <c r="AB99" s="236">
        <v>44.419709540576299</v>
      </c>
      <c r="AC99" s="236">
        <v>9.2062945923616901</v>
      </c>
      <c r="AD99" s="236">
        <v>16.364147689695901</v>
      </c>
      <c r="AE99" s="236">
        <v>75.821041997600403</v>
      </c>
      <c r="AF99" s="236">
        <v>20.240751538176799</v>
      </c>
      <c r="AG99" s="236">
        <v>55.970543373529601</v>
      </c>
      <c r="AH99" s="236">
        <v>64.1835043715881</v>
      </c>
      <c r="AI99" s="236">
        <v>67.585417829871005</v>
      </c>
      <c r="AJ99" s="236">
        <v>35.729791835352799</v>
      </c>
      <c r="AK99" s="236">
        <v>47.344666291694203</v>
      </c>
      <c r="AL99" s="236">
        <v>19.850498624070902</v>
      </c>
      <c r="AM99" s="233">
        <v>8.23562416772943</v>
      </c>
    </row>
    <row r="100" spans="1:39">
      <c r="A100" s="233" t="s">
        <v>389</v>
      </c>
      <c r="B100" s="234">
        <v>426</v>
      </c>
      <c r="C100" s="233" t="s">
        <v>390</v>
      </c>
      <c r="D100" s="233" t="s">
        <v>391</v>
      </c>
      <c r="E100" s="233" t="s">
        <v>392</v>
      </c>
      <c r="F100" s="235">
        <v>1056.9500000000003</v>
      </c>
      <c r="G100" s="235">
        <v>1085.3020000000004</v>
      </c>
      <c r="H100" s="235">
        <f t="shared" si="1"/>
        <v>2142.2520000000004</v>
      </c>
      <c r="I100" s="233">
        <v>5.5650445932199402</v>
      </c>
      <c r="J100" s="233">
        <v>13.274254216838999</v>
      </c>
      <c r="K100" s="233">
        <v>36.725982351967097</v>
      </c>
      <c r="L100" s="233">
        <v>60.069740484019803</v>
      </c>
      <c r="M100" s="233">
        <v>14.1849494925599</v>
      </c>
      <c r="N100" s="233">
        <v>23.4517281351281</v>
      </c>
      <c r="O100" s="233">
        <v>63.274017648032903</v>
      </c>
      <c r="P100" s="233">
        <v>23.343758132052699</v>
      </c>
      <c r="Q100" s="233">
        <v>54.935535000354797</v>
      </c>
      <c r="R100" s="233">
        <v>58.399470085874498</v>
      </c>
      <c r="S100" s="233">
        <v>60.022521350334699</v>
      </c>
      <c r="T100" s="233">
        <v>31.591776868302102</v>
      </c>
      <c r="U100" s="233">
        <v>36.678763218282</v>
      </c>
      <c r="V100" s="233">
        <v>37.9780937285609</v>
      </c>
      <c r="W100" s="233">
        <v>8.3384826476780702</v>
      </c>
      <c r="X100" s="233">
        <v>3.25149629769819</v>
      </c>
      <c r="Y100" s="233">
        <v>5.3632423739644004</v>
      </c>
      <c r="Z100" s="233">
        <v>12.8093099262043</v>
      </c>
      <c r="AA100" s="233">
        <v>35.432326730331702</v>
      </c>
      <c r="AB100" s="233">
        <v>57.736678145174501</v>
      </c>
      <c r="AC100" s="233">
        <v>13.7019625373407</v>
      </c>
      <c r="AD100" s="233">
        <v>22.623016804127399</v>
      </c>
      <c r="AE100" s="233">
        <v>64.567673269668205</v>
      </c>
      <c r="AF100" s="233">
        <v>22.304351414842799</v>
      </c>
      <c r="AG100" s="233">
        <v>51.448786780765403</v>
      </c>
      <c r="AH100" s="233">
        <v>56.998442842873601</v>
      </c>
      <c r="AI100" s="233">
        <v>59.552310370443799</v>
      </c>
      <c r="AJ100" s="233">
        <v>29.1444353659226</v>
      </c>
      <c r="AK100" s="233">
        <v>37.247958955601099</v>
      </c>
      <c r="AL100" s="233">
        <v>13.118886488902801</v>
      </c>
      <c r="AM100" s="236">
        <v>5.0153628992243897</v>
      </c>
    </row>
    <row r="101" spans="1:39">
      <c r="A101" s="236" t="s">
        <v>393</v>
      </c>
      <c r="B101" s="237">
        <v>430</v>
      </c>
      <c r="C101" s="236" t="s">
        <v>394</v>
      </c>
      <c r="D101" s="236" t="s">
        <v>395</v>
      </c>
      <c r="E101" s="236" t="s">
        <v>396</v>
      </c>
      <c r="F101" s="238">
        <v>2542.5389999999998</v>
      </c>
      <c r="G101" s="238">
        <v>2515.1379999999999</v>
      </c>
      <c r="H101" s="235">
        <f t="shared" si="1"/>
        <v>5057.6769999999997</v>
      </c>
      <c r="I101" s="236">
        <v>6.4826118658292904</v>
      </c>
      <c r="J101" s="236">
        <v>15.7703669274097</v>
      </c>
      <c r="K101" s="236">
        <v>42.833075233666499</v>
      </c>
      <c r="L101" s="236">
        <v>62.240995332177597</v>
      </c>
      <c r="M101" s="236">
        <v>17.017572071486601</v>
      </c>
      <c r="N101" s="236">
        <v>27.062708306256699</v>
      </c>
      <c r="O101" s="236">
        <v>57.166924766333501</v>
      </c>
      <c r="P101" s="236">
        <v>19.407920098511099</v>
      </c>
      <c r="Q101" s="236">
        <v>47.589584081381801</v>
      </c>
      <c r="R101" s="236">
        <v>52.728065750431199</v>
      </c>
      <c r="S101" s="236">
        <v>54.406983890615599</v>
      </c>
      <c r="T101" s="236">
        <v>28.181663982870699</v>
      </c>
      <c r="U101" s="236">
        <v>34.9990637921046</v>
      </c>
      <c r="V101" s="236">
        <v>36.1756017613925</v>
      </c>
      <c r="W101" s="236">
        <v>9.5773406849517198</v>
      </c>
      <c r="X101" s="236">
        <v>2.7599408757178501</v>
      </c>
      <c r="Y101" s="236">
        <v>6.3158705307876</v>
      </c>
      <c r="Z101" s="236">
        <v>15.3636906166294</v>
      </c>
      <c r="AA101" s="236">
        <v>41.769835197477903</v>
      </c>
      <c r="AB101" s="236">
        <v>60.899167861650298</v>
      </c>
      <c r="AC101" s="236">
        <v>16.588102933190299</v>
      </c>
      <c r="AD101" s="236">
        <v>26.406144580848402</v>
      </c>
      <c r="AE101" s="236">
        <v>58.230164802522197</v>
      </c>
      <c r="AF101" s="236">
        <v>19.129332664172399</v>
      </c>
      <c r="AG101" s="236">
        <v>47.446212308770903</v>
      </c>
      <c r="AH101" s="236">
        <v>53.019887242500303</v>
      </c>
      <c r="AI101" s="236">
        <v>54.963170032095498</v>
      </c>
      <c r="AJ101" s="236">
        <v>28.316879644598501</v>
      </c>
      <c r="AK101" s="236">
        <v>35.833837367923202</v>
      </c>
      <c r="AL101" s="236">
        <v>10.783952493751199</v>
      </c>
      <c r="AM101" s="233">
        <v>3.26699477042661</v>
      </c>
    </row>
    <row r="102" spans="1:39">
      <c r="A102" s="233" t="s">
        <v>397</v>
      </c>
      <c r="B102" s="234">
        <v>434</v>
      </c>
      <c r="C102" s="233" t="s">
        <v>398</v>
      </c>
      <c r="D102" s="233" t="s">
        <v>399</v>
      </c>
      <c r="E102" s="233" t="s">
        <v>400</v>
      </c>
      <c r="F102" s="235">
        <v>3468.7370000000001</v>
      </c>
      <c r="G102" s="235">
        <v>3402.55</v>
      </c>
      <c r="H102" s="235">
        <f t="shared" si="1"/>
        <v>6871.2870000000003</v>
      </c>
      <c r="I102" s="233">
        <v>4.0826864380873298</v>
      </c>
      <c r="J102" s="233">
        <v>10.5411111762274</v>
      </c>
      <c r="K102" s="233">
        <v>30.420734015576201</v>
      </c>
      <c r="L102" s="233">
        <v>46.332757318060203</v>
      </c>
      <c r="M102" s="233">
        <v>12.5174507285194</v>
      </c>
      <c r="N102" s="233">
        <v>19.879622839348801</v>
      </c>
      <c r="O102" s="233">
        <v>69.579265984423898</v>
      </c>
      <c r="P102" s="233">
        <v>15.912023302484</v>
      </c>
      <c r="Q102" s="233">
        <v>55.264362499980201</v>
      </c>
      <c r="R102" s="233">
        <v>62.998309968020898</v>
      </c>
      <c r="S102" s="233">
        <v>65.424828422948295</v>
      </c>
      <c r="T102" s="233">
        <v>39.3523391974962</v>
      </c>
      <c r="U102" s="233">
        <v>49.5128051204643</v>
      </c>
      <c r="V102" s="233">
        <v>51.117591062946197</v>
      </c>
      <c r="W102" s="233">
        <v>14.314903484443599</v>
      </c>
      <c r="X102" s="233">
        <v>4.1544375614755102</v>
      </c>
      <c r="Y102" s="233">
        <v>3.9094811693526599</v>
      </c>
      <c r="Z102" s="233">
        <v>10.1305925983112</v>
      </c>
      <c r="AA102" s="233">
        <v>29.238365207597301</v>
      </c>
      <c r="AB102" s="233">
        <v>45.183527015628997</v>
      </c>
      <c r="AC102" s="233">
        <v>12.046411995029599</v>
      </c>
      <c r="AD102" s="233">
        <v>19.107772609286101</v>
      </c>
      <c r="AE102" s="233">
        <v>70.761634792402702</v>
      </c>
      <c r="AF102" s="233">
        <v>15.945161808031701</v>
      </c>
      <c r="AG102" s="233">
        <v>55.580641658228402</v>
      </c>
      <c r="AH102" s="233">
        <v>63.341462469243503</v>
      </c>
      <c r="AI102" s="233">
        <v>65.830368328980498</v>
      </c>
      <c r="AJ102" s="233">
        <v>39.635479850196703</v>
      </c>
      <c r="AK102" s="233">
        <v>49.885206520948699</v>
      </c>
      <c r="AL102" s="233">
        <v>15.180993134174299</v>
      </c>
      <c r="AM102" s="236">
        <v>4.9312664634222498</v>
      </c>
    </row>
    <row r="103" spans="1:39">
      <c r="A103" s="233" t="s">
        <v>401</v>
      </c>
      <c r="B103" s="234">
        <v>440</v>
      </c>
      <c r="C103" s="233" t="s">
        <v>402</v>
      </c>
      <c r="D103" s="233" t="s">
        <v>403</v>
      </c>
      <c r="E103" s="233" t="s">
        <v>404</v>
      </c>
      <c r="F103" s="235">
        <v>1259.9869999999999</v>
      </c>
      <c r="G103" s="235">
        <v>1462.3040000000001</v>
      </c>
      <c r="H103" s="235">
        <f t="shared" si="1"/>
        <v>2722.2910000000002</v>
      </c>
      <c r="I103" s="233">
        <v>2.4781171712293601</v>
      </c>
      <c r="J103" s="233">
        <v>5.87825601400501</v>
      </c>
      <c r="K103" s="233">
        <v>16.152395037879899</v>
      </c>
      <c r="L103" s="233">
        <v>30.442636805408799</v>
      </c>
      <c r="M103" s="233">
        <v>6.1282484682019902</v>
      </c>
      <c r="N103" s="233">
        <v>10.2741390238749</v>
      </c>
      <c r="O103" s="233">
        <v>83.847604962120101</v>
      </c>
      <c r="P103" s="233">
        <v>14.290241767528901</v>
      </c>
      <c r="Q103" s="233">
        <v>48.9810147595907</v>
      </c>
      <c r="R103" s="233">
        <v>64.471718330264693</v>
      </c>
      <c r="S103" s="233">
        <v>70.144653043976902</v>
      </c>
      <c r="T103" s="233">
        <v>34.690772992061802</v>
      </c>
      <c r="U103" s="233">
        <v>55.854411276447998</v>
      </c>
      <c r="V103" s="233">
        <v>59.741933536566997</v>
      </c>
      <c r="W103" s="233">
        <v>34.866590202529402</v>
      </c>
      <c r="X103" s="233">
        <v>13.7029519181431</v>
      </c>
      <c r="Y103" s="233">
        <v>1.98736129129874</v>
      </c>
      <c r="Z103" s="233">
        <v>4.7647867419108696</v>
      </c>
      <c r="AA103" s="233">
        <v>13.1176661848548</v>
      </c>
      <c r="AB103" s="233">
        <v>24.506346717831001</v>
      </c>
      <c r="AC103" s="233">
        <v>5.0177540699153003</v>
      </c>
      <c r="AD103" s="233">
        <v>8.3528794429439195</v>
      </c>
      <c r="AE103" s="233">
        <v>86.882333815145202</v>
      </c>
      <c r="AF103" s="233">
        <v>11.388680532976201</v>
      </c>
      <c r="AG103" s="233">
        <v>41.668077763791999</v>
      </c>
      <c r="AH103" s="233">
        <v>57.108871240338303</v>
      </c>
      <c r="AI103" s="233">
        <v>63.644686816918998</v>
      </c>
      <c r="AJ103" s="233">
        <v>30.2793972308158</v>
      </c>
      <c r="AK103" s="233">
        <v>52.256006283942803</v>
      </c>
      <c r="AL103" s="233">
        <v>45.214256051353203</v>
      </c>
      <c r="AM103" s="236">
        <v>23.2376469982262</v>
      </c>
    </row>
    <row r="104" spans="1:39">
      <c r="A104" s="236" t="s">
        <v>405</v>
      </c>
      <c r="B104" s="237">
        <v>442</v>
      </c>
      <c r="C104" s="236" t="s">
        <v>406</v>
      </c>
      <c r="D104" s="236" t="s">
        <v>67</v>
      </c>
      <c r="E104" s="236" t="s">
        <v>68</v>
      </c>
      <c r="F104" s="238">
        <v>316.58700000000005</v>
      </c>
      <c r="G104" s="238">
        <v>309.38900000000001</v>
      </c>
      <c r="H104" s="235">
        <f t="shared" si="1"/>
        <v>625.97600000000011</v>
      </c>
      <c r="I104" s="236">
        <v>2.3944626952198602</v>
      </c>
      <c r="J104" s="236">
        <v>5.7456564130492103</v>
      </c>
      <c r="K104" s="236">
        <v>16.799184863763301</v>
      </c>
      <c r="L104" s="236">
        <v>29.461201974597302</v>
      </c>
      <c r="M104" s="236">
        <v>6.4979006728387496</v>
      </c>
      <c r="N104" s="236">
        <v>11.053528450714101</v>
      </c>
      <c r="O104" s="236">
        <v>83.200815136236699</v>
      </c>
      <c r="P104" s="236">
        <v>12.662017110833901</v>
      </c>
      <c r="Q104" s="236">
        <v>51.612529206120598</v>
      </c>
      <c r="R104" s="236">
        <v>65.716142859652507</v>
      </c>
      <c r="S104" s="236">
        <v>70.882420111378494</v>
      </c>
      <c r="T104" s="236">
        <v>38.950512095286598</v>
      </c>
      <c r="U104" s="236">
        <v>58.2204030005446</v>
      </c>
      <c r="V104" s="236">
        <v>62.392354584263003</v>
      </c>
      <c r="W104" s="236">
        <v>31.588285930116101</v>
      </c>
      <c r="X104" s="236">
        <v>12.3183950248581</v>
      </c>
      <c r="Y104" s="236">
        <v>2.2457034637781201</v>
      </c>
      <c r="Z104" s="236">
        <v>5.4620435759925003</v>
      </c>
      <c r="AA104" s="236">
        <v>16.065417087028099</v>
      </c>
      <c r="AB104" s="236">
        <v>28.0882847484026</v>
      </c>
      <c r="AC104" s="236">
        <v>6.2687835182923601</v>
      </c>
      <c r="AD104" s="236">
        <v>10.603373511035601</v>
      </c>
      <c r="AE104" s="236">
        <v>83.934582912971905</v>
      </c>
      <c r="AF104" s="236">
        <v>12.0228676613745</v>
      </c>
      <c r="AG104" s="236">
        <v>49.711322324288901</v>
      </c>
      <c r="AH104" s="236">
        <v>63.183773164126798</v>
      </c>
      <c r="AI104" s="236">
        <v>68.2776686313032</v>
      </c>
      <c r="AJ104" s="236">
        <v>37.688454662914403</v>
      </c>
      <c r="AK104" s="236">
        <v>56.254800969928702</v>
      </c>
      <c r="AL104" s="236">
        <v>34.223260588682997</v>
      </c>
      <c r="AM104" s="233">
        <v>15.656914281668699</v>
      </c>
    </row>
    <row r="105" spans="1:39">
      <c r="A105" s="233" t="s">
        <v>407</v>
      </c>
      <c r="B105" s="234">
        <v>450</v>
      </c>
      <c r="C105" s="233" t="s">
        <v>408</v>
      </c>
      <c r="D105" s="233" t="s">
        <v>409</v>
      </c>
      <c r="E105" s="233" t="s">
        <v>410</v>
      </c>
      <c r="F105" s="235">
        <v>13814.618999999999</v>
      </c>
      <c r="G105" s="235">
        <v>13876.400000000003</v>
      </c>
      <c r="H105" s="235">
        <f t="shared" si="1"/>
        <v>27691.019</v>
      </c>
      <c r="I105" s="233">
        <v>6.5989867461604099</v>
      </c>
      <c r="J105" s="233">
        <v>15.787752180619499</v>
      </c>
      <c r="K105" s="233">
        <v>42.154938468247501</v>
      </c>
      <c r="L105" s="233">
        <v>62.714706879666302</v>
      </c>
      <c r="M105" s="233">
        <v>16.473581003075498</v>
      </c>
      <c r="N105" s="233">
        <v>26.367186287628002</v>
      </c>
      <c r="O105" s="233">
        <v>57.845061531752499</v>
      </c>
      <c r="P105" s="233">
        <v>20.559768411418801</v>
      </c>
      <c r="Q105" s="233">
        <v>48.298397156009898</v>
      </c>
      <c r="R105" s="233">
        <v>53.496998666083002</v>
      </c>
      <c r="S105" s="233">
        <v>55.241014227151297</v>
      </c>
      <c r="T105" s="233">
        <v>27.738628744591001</v>
      </c>
      <c r="U105" s="233">
        <v>34.681245815732403</v>
      </c>
      <c r="V105" s="233">
        <v>35.751466526562801</v>
      </c>
      <c r="W105" s="233">
        <v>9.5466643757426599</v>
      </c>
      <c r="X105" s="233">
        <v>2.60404730460127</v>
      </c>
      <c r="Y105" s="233">
        <v>6.3889536423688504</v>
      </c>
      <c r="Z105" s="233">
        <v>15.3261900896483</v>
      </c>
      <c r="AA105" s="233">
        <v>41.2663153055531</v>
      </c>
      <c r="AB105" s="233">
        <v>61.792864913470702</v>
      </c>
      <c r="AC105" s="233">
        <v>16.1531347710498</v>
      </c>
      <c r="AD105" s="233">
        <v>25.9401252159047</v>
      </c>
      <c r="AE105" s="233">
        <v>58.7336846944469</v>
      </c>
      <c r="AF105" s="233">
        <v>20.526549607917602</v>
      </c>
      <c r="AG105" s="233">
        <v>48.276394933270801</v>
      </c>
      <c r="AH105" s="233">
        <v>53.771415927798202</v>
      </c>
      <c r="AI105" s="233">
        <v>55.663453641504901</v>
      </c>
      <c r="AJ105" s="233">
        <v>27.749845325353299</v>
      </c>
      <c r="AK105" s="233">
        <v>35.1369040335873</v>
      </c>
      <c r="AL105" s="233">
        <v>10.457289761176099</v>
      </c>
      <c r="AM105" s="236">
        <v>3.07023105294205</v>
      </c>
    </row>
    <row r="106" spans="1:39">
      <c r="A106" s="236" t="s">
        <v>411</v>
      </c>
      <c r="B106" s="237">
        <v>454</v>
      </c>
      <c r="C106" s="236" t="s">
        <v>412</v>
      </c>
      <c r="D106" s="236" t="s">
        <v>413</v>
      </c>
      <c r="E106" s="236" t="s">
        <v>414</v>
      </c>
      <c r="F106" s="238">
        <v>9434.0370000000003</v>
      </c>
      <c r="G106" s="238">
        <v>9695.9180000000015</v>
      </c>
      <c r="H106" s="235">
        <f t="shared" si="1"/>
        <v>19129.955000000002</v>
      </c>
      <c r="I106" s="236">
        <v>7.1483607529377498</v>
      </c>
      <c r="J106" s="236">
        <v>17.381128796828001</v>
      </c>
      <c r="K106" s="236">
        <v>45.541524725589603</v>
      </c>
      <c r="L106" s="236">
        <v>66.159811969215596</v>
      </c>
      <c r="M106" s="236">
        <v>18.038705881408301</v>
      </c>
      <c r="N106" s="236">
        <v>28.160395928761599</v>
      </c>
      <c r="O106" s="236">
        <v>54.458475274410397</v>
      </c>
      <c r="P106" s="236">
        <v>20.618287243626</v>
      </c>
      <c r="Q106" s="236">
        <v>46.599983405214999</v>
      </c>
      <c r="R106" s="236">
        <v>50.127248020233999</v>
      </c>
      <c r="S106" s="236">
        <v>51.489614701908899</v>
      </c>
      <c r="T106" s="236">
        <v>25.981696161588999</v>
      </c>
      <c r="U106" s="236">
        <v>30.871327458282899</v>
      </c>
      <c r="V106" s="236">
        <v>32.134311626555402</v>
      </c>
      <c r="W106" s="236">
        <v>7.8584918691953902</v>
      </c>
      <c r="X106" s="236">
        <v>2.9688605725014598</v>
      </c>
      <c r="Y106" s="236">
        <v>6.9202756475138401</v>
      </c>
      <c r="Z106" s="236">
        <v>16.933368637666799</v>
      </c>
      <c r="AA106" s="236">
        <v>44.773735060462201</v>
      </c>
      <c r="AB106" s="236">
        <v>65.376771117158299</v>
      </c>
      <c r="AC106" s="236">
        <v>17.814376448808499</v>
      </c>
      <c r="AD106" s="236">
        <v>27.840366422795402</v>
      </c>
      <c r="AE106" s="236">
        <v>55.226264939537899</v>
      </c>
      <c r="AF106" s="236">
        <v>20.603036056696201</v>
      </c>
      <c r="AG106" s="236">
        <v>45.935785778315001</v>
      </c>
      <c r="AH106" s="236">
        <v>49.691533605631399</v>
      </c>
      <c r="AI106" s="236">
        <v>51.313932419108902</v>
      </c>
      <c r="AJ106" s="236">
        <v>25.3327497216188</v>
      </c>
      <c r="AK106" s="236">
        <v>30.710896362412701</v>
      </c>
      <c r="AL106" s="236">
        <v>9.2904791612228603</v>
      </c>
      <c r="AM106" s="233">
        <v>3.91233252042902</v>
      </c>
    </row>
    <row r="107" spans="1:39">
      <c r="A107" s="233" t="s">
        <v>415</v>
      </c>
      <c r="B107" s="234">
        <v>458</v>
      </c>
      <c r="C107" s="233" t="s">
        <v>416</v>
      </c>
      <c r="D107" s="233" t="s">
        <v>417</v>
      </c>
      <c r="E107" s="233" t="s">
        <v>418</v>
      </c>
      <c r="F107" s="235">
        <v>16630.812999999998</v>
      </c>
      <c r="G107" s="235">
        <v>15735.184999999999</v>
      </c>
      <c r="H107" s="235">
        <f t="shared" si="1"/>
        <v>32365.998</v>
      </c>
      <c r="I107" s="233">
        <v>3.7005389973802201</v>
      </c>
      <c r="J107" s="233">
        <v>8.4706338669887504</v>
      </c>
      <c r="K107" s="233">
        <v>24.506258487139</v>
      </c>
      <c r="L107" s="233">
        <v>43.070940701769402</v>
      </c>
      <c r="M107" s="233">
        <v>9.1802724882394706</v>
      </c>
      <c r="N107" s="233">
        <v>16.035624620150202</v>
      </c>
      <c r="O107" s="233">
        <v>75.493741512861106</v>
      </c>
      <c r="P107" s="233">
        <v>18.564682214630501</v>
      </c>
      <c r="Q107" s="233">
        <v>57.188029343904397</v>
      </c>
      <c r="R107" s="233">
        <v>66.424412452391493</v>
      </c>
      <c r="S107" s="233">
        <v>69.643708542630606</v>
      </c>
      <c r="T107" s="233">
        <v>38.623347129273903</v>
      </c>
      <c r="U107" s="233">
        <v>51.079026328000097</v>
      </c>
      <c r="V107" s="233">
        <v>53.505279895560101</v>
      </c>
      <c r="W107" s="233">
        <v>18.305712168956699</v>
      </c>
      <c r="X107" s="233">
        <v>5.8500329702304201</v>
      </c>
      <c r="Y107" s="233">
        <v>3.30165352190031</v>
      </c>
      <c r="Z107" s="233">
        <v>7.8659063302845302</v>
      </c>
      <c r="AA107" s="233">
        <v>24.5034818260383</v>
      </c>
      <c r="AB107" s="233">
        <v>43.411775936110097</v>
      </c>
      <c r="AC107" s="233">
        <v>9.4682957199684203</v>
      </c>
      <c r="AD107" s="233">
        <v>16.637575495753701</v>
      </c>
      <c r="AE107" s="233">
        <v>75.496518173961704</v>
      </c>
      <c r="AF107" s="233">
        <v>18.9082941100718</v>
      </c>
      <c r="AG107" s="233">
        <v>56.294019384487697</v>
      </c>
      <c r="AH107" s="233">
        <v>66.204063146363794</v>
      </c>
      <c r="AI107" s="233">
        <v>69.635788994044006</v>
      </c>
      <c r="AJ107" s="233">
        <v>37.385725274415798</v>
      </c>
      <c r="AK107" s="233">
        <v>50.727494883972099</v>
      </c>
      <c r="AL107" s="233">
        <v>19.202498789474099</v>
      </c>
      <c r="AM107" s="236">
        <v>5.8607291799177696</v>
      </c>
    </row>
    <row r="108" spans="1:39">
      <c r="A108" s="236" t="s">
        <v>419</v>
      </c>
      <c r="B108" s="237">
        <v>462</v>
      </c>
      <c r="C108" s="236" t="s">
        <v>420</v>
      </c>
      <c r="D108" s="236" t="s">
        <v>421</v>
      </c>
      <c r="E108" s="236" t="s">
        <v>422</v>
      </c>
      <c r="F108" s="238">
        <v>342.928</v>
      </c>
      <c r="G108" s="238">
        <v>197.61399999999998</v>
      </c>
      <c r="H108" s="235">
        <f t="shared" si="1"/>
        <v>540.54199999999992</v>
      </c>
      <c r="I108" s="236">
        <v>4.4772354647496497</v>
      </c>
      <c r="J108" s="236">
        <v>10.740430012008799</v>
      </c>
      <c r="K108" s="236">
        <v>28.351620633118898</v>
      </c>
      <c r="L108" s="236">
        <v>48.2017031590145</v>
      </c>
      <c r="M108" s="236">
        <v>10.944414285479301</v>
      </c>
      <c r="N108" s="236">
        <v>17.6111906211102</v>
      </c>
      <c r="O108" s="236">
        <v>71.648379366881102</v>
      </c>
      <c r="P108" s="236">
        <v>19.850082525895601</v>
      </c>
      <c r="Q108" s="236">
        <v>57.255424501143303</v>
      </c>
      <c r="R108" s="236">
        <v>64.738686275477505</v>
      </c>
      <c r="S108" s="236">
        <v>66.793882665175204</v>
      </c>
      <c r="T108" s="236">
        <v>37.405341975247701</v>
      </c>
      <c r="U108" s="236">
        <v>46.943800139279602</v>
      </c>
      <c r="V108" s="236">
        <v>48.332209226449997</v>
      </c>
      <c r="W108" s="236">
        <v>14.392954865737799</v>
      </c>
      <c r="X108" s="236">
        <v>4.8544967017058998</v>
      </c>
      <c r="Y108" s="236">
        <v>4.0162171107065996</v>
      </c>
      <c r="Z108" s="236">
        <v>9.8058359534447597</v>
      </c>
      <c r="AA108" s="236">
        <v>26.600474378068299</v>
      </c>
      <c r="AB108" s="236">
        <v>45.7305973854046</v>
      </c>
      <c r="AC108" s="236">
        <v>10.402669755640099</v>
      </c>
      <c r="AD108" s="236">
        <v>16.7946384246235</v>
      </c>
      <c r="AE108" s="236">
        <v>73.399525621931701</v>
      </c>
      <c r="AF108" s="236">
        <v>19.130123007336302</v>
      </c>
      <c r="AG108" s="236">
        <v>58.873076286612601</v>
      </c>
      <c r="AH108" s="236">
        <v>66.749958629819602</v>
      </c>
      <c r="AI108" s="236">
        <v>68.852666997628106</v>
      </c>
      <c r="AJ108" s="236">
        <v>39.7429532792763</v>
      </c>
      <c r="AK108" s="236">
        <v>49.722543990291797</v>
      </c>
      <c r="AL108" s="236">
        <v>14.5264493353191</v>
      </c>
      <c r="AM108" s="233">
        <v>4.5468586243036002</v>
      </c>
    </row>
    <row r="109" spans="1:39">
      <c r="A109" s="233" t="s">
        <v>423</v>
      </c>
      <c r="B109" s="234">
        <v>466</v>
      </c>
      <c r="C109" s="233" t="s">
        <v>424</v>
      </c>
      <c r="D109" s="233" t="s">
        <v>123</v>
      </c>
      <c r="E109" s="233" t="s">
        <v>124</v>
      </c>
      <c r="F109" s="235">
        <v>10145.174000000001</v>
      </c>
      <c r="G109" s="235">
        <v>10105.659999999998</v>
      </c>
      <c r="H109" s="235">
        <f t="shared" si="1"/>
        <v>20250.833999999999</v>
      </c>
      <c r="I109" s="233">
        <v>7.73231255114134</v>
      </c>
      <c r="J109" s="233">
        <v>18.698176301030198</v>
      </c>
      <c r="K109" s="233">
        <v>47.9939086225856</v>
      </c>
      <c r="L109" s="233">
        <v>67.453518355733294</v>
      </c>
      <c r="M109" s="233">
        <v>18.983352261024301</v>
      </c>
      <c r="N109" s="233">
        <v>29.295732321555398</v>
      </c>
      <c r="O109" s="233">
        <v>52.0060913774144</v>
      </c>
      <c r="P109" s="233">
        <v>19.459609733147701</v>
      </c>
      <c r="Q109" s="233">
        <v>44.713805433841799</v>
      </c>
      <c r="R109" s="233">
        <v>48.463750564172699</v>
      </c>
      <c r="S109" s="233">
        <v>49.8032345529219</v>
      </c>
      <c r="T109" s="233">
        <v>25.254195700694101</v>
      </c>
      <c r="U109" s="233">
        <v>30.343624819774199</v>
      </c>
      <c r="V109" s="233">
        <v>31.250679539747601</v>
      </c>
      <c r="W109" s="233">
        <v>7.2922859435725904</v>
      </c>
      <c r="X109" s="233">
        <v>2.20285682449247</v>
      </c>
      <c r="Y109" s="233">
        <v>7.6858943495608303</v>
      </c>
      <c r="Z109" s="233">
        <v>18.473669088390501</v>
      </c>
      <c r="AA109" s="233">
        <v>47.049353046768502</v>
      </c>
      <c r="AB109" s="233">
        <v>66.023767745832302</v>
      </c>
      <c r="AC109" s="233">
        <v>18.519980025252998</v>
      </c>
      <c r="AD109" s="233">
        <v>28.575683958378001</v>
      </c>
      <c r="AE109" s="233">
        <v>52.950646953231399</v>
      </c>
      <c r="AF109" s="233">
        <v>18.9744146990638</v>
      </c>
      <c r="AG109" s="233">
        <v>44.126600515616502</v>
      </c>
      <c r="AH109" s="233">
        <v>48.466369034368803</v>
      </c>
      <c r="AI109" s="233">
        <v>50.108020604465601</v>
      </c>
      <c r="AJ109" s="233">
        <v>25.152185816552699</v>
      </c>
      <c r="AK109" s="233">
        <v>31.133605905401801</v>
      </c>
      <c r="AL109" s="233">
        <v>8.8240464376149408</v>
      </c>
      <c r="AM109" s="236">
        <v>2.8426263487658701</v>
      </c>
    </row>
    <row r="110" spans="1:39">
      <c r="A110" s="236" t="s">
        <v>425</v>
      </c>
      <c r="B110" s="237">
        <v>470</v>
      </c>
      <c r="C110" s="236" t="s">
        <v>426</v>
      </c>
      <c r="D110" s="236" t="s">
        <v>427</v>
      </c>
      <c r="E110" s="236" t="s">
        <v>428</v>
      </c>
      <c r="F110" s="238">
        <v>221.41999999999993</v>
      </c>
      <c r="G110" s="238">
        <v>220.119</v>
      </c>
      <c r="H110" s="235">
        <f t="shared" si="1"/>
        <v>441.53899999999993</v>
      </c>
      <c r="I110" s="236">
        <v>1.7760532576164501</v>
      </c>
      <c r="J110" s="236">
        <v>4.59529199600951</v>
      </c>
      <c r="K110" s="236">
        <v>14.584932085028001</v>
      </c>
      <c r="L110" s="236">
        <v>27.110831862481799</v>
      </c>
      <c r="M110" s="236">
        <v>5.86581996776916</v>
      </c>
      <c r="N110" s="236">
        <v>9.98964008901849</v>
      </c>
      <c r="O110" s="236">
        <v>85.415067914971999</v>
      </c>
      <c r="P110" s="236">
        <v>12.5258997774538</v>
      </c>
      <c r="Q110" s="236">
        <v>48.0421686746988</v>
      </c>
      <c r="R110" s="236">
        <v>61.698545775458498</v>
      </c>
      <c r="S110" s="236">
        <v>67.998906453840803</v>
      </c>
      <c r="T110" s="236">
        <v>35.516268897244998</v>
      </c>
      <c r="U110" s="236">
        <v>55.473006676387101</v>
      </c>
      <c r="V110" s="236">
        <v>62.280331517151403</v>
      </c>
      <c r="W110" s="236">
        <v>37.372899240273199</v>
      </c>
      <c r="X110" s="236">
        <v>17.4161614611311</v>
      </c>
      <c r="Y110" s="236">
        <v>1.7509301816590099</v>
      </c>
      <c r="Z110" s="236">
        <v>4.3059560173951104</v>
      </c>
      <c r="AA110" s="236">
        <v>14.280548497911299</v>
      </c>
      <c r="AB110" s="236">
        <v>27.7845975239563</v>
      </c>
      <c r="AC110" s="236">
        <v>5.54635682815191</v>
      </c>
      <c r="AD110" s="236">
        <v>9.9745924805161401</v>
      </c>
      <c r="AE110" s="236">
        <v>85.719451502088702</v>
      </c>
      <c r="AF110" s="236">
        <v>13.5040490260451</v>
      </c>
      <c r="AG110" s="236">
        <v>45.029356628317501</v>
      </c>
      <c r="AH110" s="236">
        <v>58.343562952601197</v>
      </c>
      <c r="AI110" s="236">
        <v>64.654048550248802</v>
      </c>
      <c r="AJ110" s="236">
        <v>31.525307602272399</v>
      </c>
      <c r="AK110" s="236">
        <v>51.1499995242037</v>
      </c>
      <c r="AL110" s="236">
        <v>40.690094873771301</v>
      </c>
      <c r="AM110" s="233">
        <v>21.0654029518399</v>
      </c>
    </row>
    <row r="111" spans="1:39">
      <c r="A111" s="236" t="s">
        <v>429</v>
      </c>
      <c r="B111" s="237">
        <v>478</v>
      </c>
      <c r="C111" s="236" t="s">
        <v>430</v>
      </c>
      <c r="D111" s="236" t="s">
        <v>431</v>
      </c>
      <c r="E111" s="236" t="s">
        <v>432</v>
      </c>
      <c r="F111" s="238">
        <v>2334.9810000000002</v>
      </c>
      <c r="G111" s="238">
        <v>2314.6790000000001</v>
      </c>
      <c r="H111" s="235">
        <f t="shared" si="1"/>
        <v>4649.66</v>
      </c>
      <c r="I111" s="236">
        <v>6.1496076033537603</v>
      </c>
      <c r="J111" s="236">
        <v>14.924410574458101</v>
      </c>
      <c r="K111" s="236">
        <v>40.373835793863599</v>
      </c>
      <c r="L111" s="236">
        <v>60.065927913147497</v>
      </c>
      <c r="M111" s="236">
        <v>15.966095053647701</v>
      </c>
      <c r="N111" s="236">
        <v>25.449425219405502</v>
      </c>
      <c r="O111" s="236">
        <v>59.626164206136401</v>
      </c>
      <c r="P111" s="236">
        <v>19.692092119283899</v>
      </c>
      <c r="Q111" s="236">
        <v>49.400741945523201</v>
      </c>
      <c r="R111" s="236">
        <v>55.122604714427197</v>
      </c>
      <c r="S111" s="236">
        <v>56.9088241487487</v>
      </c>
      <c r="T111" s="236">
        <v>29.708649826239299</v>
      </c>
      <c r="U111" s="236">
        <v>37.216732029464801</v>
      </c>
      <c r="V111" s="236">
        <v>38.3918943941731</v>
      </c>
      <c r="W111" s="236">
        <v>10.225422260613099</v>
      </c>
      <c r="X111" s="236">
        <v>2.7173400573876698</v>
      </c>
      <c r="Y111" s="236">
        <v>6.0206365552362602</v>
      </c>
      <c r="Z111" s="236">
        <v>14.6285870377967</v>
      </c>
      <c r="AA111" s="236">
        <v>39.654381494697901</v>
      </c>
      <c r="AB111" s="236">
        <v>58.995745708470402</v>
      </c>
      <c r="AC111" s="236">
        <v>15.6947084372741</v>
      </c>
      <c r="AD111" s="236">
        <v>25.025794456901099</v>
      </c>
      <c r="AE111" s="236">
        <v>60.345618505302099</v>
      </c>
      <c r="AF111" s="236">
        <v>19.3413642137726</v>
      </c>
      <c r="AG111" s="236">
        <v>48.718541278306503</v>
      </c>
      <c r="AH111" s="236">
        <v>54.670887472826102</v>
      </c>
      <c r="AI111" s="236">
        <v>56.636709631860498</v>
      </c>
      <c r="AJ111" s="236">
        <v>29.3771770645339</v>
      </c>
      <c r="AK111" s="236">
        <v>37.295345418087898</v>
      </c>
      <c r="AL111" s="236">
        <v>11.6270772269957</v>
      </c>
      <c r="AM111" s="233">
        <v>3.7089088734416298</v>
      </c>
    </row>
    <row r="112" spans="1:39">
      <c r="A112" s="233" t="s">
        <v>433</v>
      </c>
      <c r="B112" s="234">
        <v>480</v>
      </c>
      <c r="C112" s="233" t="s">
        <v>434</v>
      </c>
      <c r="D112" s="233" t="s">
        <v>435</v>
      </c>
      <c r="E112" s="233" t="s">
        <v>436</v>
      </c>
      <c r="F112" s="235">
        <v>627.47999999999979</v>
      </c>
      <c r="G112" s="235">
        <v>644.28700000000003</v>
      </c>
      <c r="H112" s="235">
        <f t="shared" si="1"/>
        <v>1271.7669999999998</v>
      </c>
      <c r="I112" s="233">
        <v>2.2651194817131799</v>
      </c>
      <c r="J112" s="233">
        <v>5.7233863568056096</v>
      </c>
      <c r="K112" s="233">
        <v>19.936200088734701</v>
      </c>
      <c r="L112" s="233">
        <v>36.217263187355798</v>
      </c>
      <c r="M112" s="233">
        <v>7.99407163336996</v>
      </c>
      <c r="N112" s="233">
        <v>14.212813731929099</v>
      </c>
      <c r="O112" s="233">
        <v>80.063799911265306</v>
      </c>
      <c r="P112" s="233">
        <v>16.2810630986211</v>
      </c>
      <c r="Q112" s="233">
        <v>53.1663806908265</v>
      </c>
      <c r="R112" s="233">
        <v>66.873343182139806</v>
      </c>
      <c r="S112" s="233">
        <v>71.8723810947441</v>
      </c>
      <c r="T112" s="233">
        <v>36.885317592205297</v>
      </c>
      <c r="U112" s="233">
        <v>55.591317996123003</v>
      </c>
      <c r="V112" s="233">
        <v>59.244228668296103</v>
      </c>
      <c r="W112" s="233">
        <v>26.897419220438898</v>
      </c>
      <c r="X112" s="233">
        <v>8.1914188165211907</v>
      </c>
      <c r="Y112" s="233">
        <v>2.1236213299481199</v>
      </c>
      <c r="Z112" s="233">
        <v>5.3746987372181501</v>
      </c>
      <c r="AA112" s="233">
        <v>18.722909628149001</v>
      </c>
      <c r="AB112" s="233">
        <v>34.285372867493997</v>
      </c>
      <c r="AC112" s="233">
        <v>7.5062347622720402</v>
      </c>
      <c r="AD112" s="233">
        <v>13.348210890930799</v>
      </c>
      <c r="AE112" s="233">
        <v>81.277090371851003</v>
      </c>
      <c r="AF112" s="233">
        <v>15.562463239345</v>
      </c>
      <c r="AG112" s="233">
        <v>51.3118995113064</v>
      </c>
      <c r="AH112" s="233">
        <v>65.0469993218193</v>
      </c>
      <c r="AI112" s="233">
        <v>70.375451409203706</v>
      </c>
      <c r="AJ112" s="233">
        <v>35.749436271961301</v>
      </c>
      <c r="AK112" s="233">
        <v>54.812988169858599</v>
      </c>
      <c r="AL112" s="233">
        <v>29.965190860544599</v>
      </c>
      <c r="AM112" s="236">
        <v>10.901638962647301</v>
      </c>
    </row>
    <row r="113" spans="1:39">
      <c r="A113" s="236" t="s">
        <v>437</v>
      </c>
      <c r="B113" s="237">
        <v>484</v>
      </c>
      <c r="C113" s="236" t="s">
        <v>438</v>
      </c>
      <c r="D113" s="236" t="s">
        <v>439</v>
      </c>
      <c r="E113" s="236" t="s">
        <v>440</v>
      </c>
      <c r="F113" s="238">
        <v>63071.485999999997</v>
      </c>
      <c r="G113" s="238">
        <v>65861.266999999993</v>
      </c>
      <c r="H113" s="235">
        <f t="shared" si="1"/>
        <v>128932.753</v>
      </c>
      <c r="I113" s="236">
        <v>3.7790872374290498</v>
      </c>
      <c r="J113" s="236">
        <v>9.3931894279027794</v>
      </c>
      <c r="K113" s="236">
        <v>28.323757763889098</v>
      </c>
      <c r="L113" s="236">
        <v>47.020963290061999</v>
      </c>
      <c r="M113" s="236">
        <v>11.285493350603399</v>
      </c>
      <c r="N113" s="236">
        <v>18.930568335986401</v>
      </c>
      <c r="O113" s="236">
        <v>71.676242236110895</v>
      </c>
      <c r="P113" s="236">
        <v>18.697205526172901</v>
      </c>
      <c r="Q113" s="236">
        <v>54.454691422309502</v>
      </c>
      <c r="R113" s="236">
        <v>62.661075172906401</v>
      </c>
      <c r="S113" s="236">
        <v>65.674024528118196</v>
      </c>
      <c r="T113" s="236">
        <v>35.7574858961366</v>
      </c>
      <c r="U113" s="236">
        <v>46.976819001945302</v>
      </c>
      <c r="V113" s="236">
        <v>49.105945610900598</v>
      </c>
      <c r="W113" s="236">
        <v>17.2215508138014</v>
      </c>
      <c r="X113" s="236">
        <v>6.00221770799266</v>
      </c>
      <c r="Y113" s="236">
        <v>3.5913246579578701</v>
      </c>
      <c r="Z113" s="236">
        <v>8.9012091135038602</v>
      </c>
      <c r="AA113" s="236">
        <v>26.8944779978162</v>
      </c>
      <c r="AB113" s="236">
        <v>44.852158688379397</v>
      </c>
      <c r="AC113" s="236">
        <v>10.6915719064562</v>
      </c>
      <c r="AD113" s="236">
        <v>17.9932688843123</v>
      </c>
      <c r="AE113" s="236">
        <v>73.105522002183804</v>
      </c>
      <c r="AF113" s="236">
        <v>17.957680690563201</v>
      </c>
      <c r="AG113" s="236">
        <v>54.089348673550298</v>
      </c>
      <c r="AH113" s="236">
        <v>62.9530584393137</v>
      </c>
      <c r="AI113" s="236">
        <v>66.1785255625541</v>
      </c>
      <c r="AJ113" s="236">
        <v>36.131667982986997</v>
      </c>
      <c r="AK113" s="236">
        <v>48.220844871990799</v>
      </c>
      <c r="AL113" s="236">
        <v>19.016173328633599</v>
      </c>
      <c r="AM113" s="233">
        <v>6.9269964396297699</v>
      </c>
    </row>
    <row r="114" spans="1:39">
      <c r="A114" s="233" t="s">
        <v>441</v>
      </c>
      <c r="B114" s="234">
        <v>583</v>
      </c>
      <c r="C114" s="233" t="s">
        <v>442</v>
      </c>
      <c r="D114" s="233" t="s">
        <v>243</v>
      </c>
      <c r="E114" s="233" t="s">
        <v>244</v>
      </c>
      <c r="F114" s="235">
        <v>58.480000000000011</v>
      </c>
      <c r="G114" s="235">
        <v>56.541000000000018</v>
      </c>
      <c r="H114" s="235">
        <f t="shared" si="1"/>
        <v>115.02100000000003</v>
      </c>
      <c r="I114" s="233">
        <v>4.57858344234723</v>
      </c>
      <c r="J114" s="233">
        <v>11.1810876471688</v>
      </c>
      <c r="K114" s="233">
        <v>34.429078676882803</v>
      </c>
      <c r="L114" s="233">
        <v>58.404036628667498</v>
      </c>
      <c r="M114" s="233">
        <v>13.532050084096401</v>
      </c>
      <c r="N114" s="233">
        <v>23.2479910297141</v>
      </c>
      <c r="O114" s="233">
        <v>65.570921323117204</v>
      </c>
      <c r="P114" s="233">
        <v>23.974957951784699</v>
      </c>
      <c r="Q114" s="233">
        <v>51.668846944496401</v>
      </c>
      <c r="R114" s="233">
        <v>58.553541394131997</v>
      </c>
      <c r="S114" s="233">
        <v>61.717435993272296</v>
      </c>
      <c r="T114" s="233">
        <v>27.693888992711599</v>
      </c>
      <c r="U114" s="233">
        <v>37.742478041487601</v>
      </c>
      <c r="V114" s="233">
        <v>39.609418800224297</v>
      </c>
      <c r="W114" s="233">
        <v>13.902074378620799</v>
      </c>
      <c r="X114" s="233">
        <v>3.8534853298448901</v>
      </c>
      <c r="Y114" s="233">
        <v>4.4985279685966599</v>
      </c>
      <c r="Z114" s="233">
        <v>10.9656526005888</v>
      </c>
      <c r="AA114" s="233">
        <v>33.689892051030398</v>
      </c>
      <c r="AB114" s="233">
        <v>57.2561334641806</v>
      </c>
      <c r="AC114" s="233">
        <v>13.209028459273799</v>
      </c>
      <c r="AD114" s="233">
        <v>22.724239450441601</v>
      </c>
      <c r="AE114" s="233">
        <v>66.310107948969602</v>
      </c>
      <c r="AF114" s="233">
        <v>23.566241413150198</v>
      </c>
      <c r="AG114" s="233">
        <v>50.694798822374899</v>
      </c>
      <c r="AH114" s="233">
        <v>58.245338567222802</v>
      </c>
      <c r="AI114" s="233">
        <v>61.424926398429903</v>
      </c>
      <c r="AJ114" s="233">
        <v>27.128557409224701</v>
      </c>
      <c r="AK114" s="233">
        <v>37.858684985279702</v>
      </c>
      <c r="AL114" s="233">
        <v>15.615309126594701</v>
      </c>
      <c r="AM114" s="236">
        <v>4.88518155053975</v>
      </c>
    </row>
    <row r="115" spans="1:39">
      <c r="A115" s="233" t="s">
        <v>443</v>
      </c>
      <c r="B115" s="234">
        <v>496</v>
      </c>
      <c r="C115" s="233" t="s">
        <v>444</v>
      </c>
      <c r="D115" s="233" t="s">
        <v>445</v>
      </c>
      <c r="E115" s="233" t="s">
        <v>446</v>
      </c>
      <c r="F115" s="235">
        <v>1615.0389999999995</v>
      </c>
      <c r="G115" s="235">
        <v>1663.2530000000002</v>
      </c>
      <c r="H115" s="235">
        <f t="shared" si="1"/>
        <v>3278.2919999999995</v>
      </c>
      <c r="I115" s="233">
        <v>4.8156727488958904</v>
      </c>
      <c r="J115" s="233">
        <v>11.6694964837219</v>
      </c>
      <c r="K115" s="233">
        <v>28.8299303844523</v>
      </c>
      <c r="L115" s="233">
        <v>46.081437287635701</v>
      </c>
      <c r="M115" s="233">
        <v>11.2363876924463</v>
      </c>
      <c r="N115" s="233">
        <v>17.1604339007304</v>
      </c>
      <c r="O115" s="233">
        <v>71.170069615547703</v>
      </c>
      <c r="P115" s="233">
        <v>17.251506903183401</v>
      </c>
      <c r="Q115" s="233">
        <v>57.249417822317497</v>
      </c>
      <c r="R115" s="233">
        <v>65.588468819785405</v>
      </c>
      <c r="S115" s="233">
        <v>67.728069941881301</v>
      </c>
      <c r="T115" s="233">
        <v>39.9979109191341</v>
      </c>
      <c r="U115" s="233">
        <v>50.476563038697897</v>
      </c>
      <c r="V115" s="233">
        <v>51.798760069062602</v>
      </c>
      <c r="W115" s="233">
        <v>13.920651793230199</v>
      </c>
      <c r="X115" s="233">
        <v>3.4419996736664502</v>
      </c>
      <c r="Y115" s="233">
        <v>4.60975324132162</v>
      </c>
      <c r="Z115" s="233">
        <v>11.1708239230448</v>
      </c>
      <c r="AA115" s="233">
        <v>27.637774989544099</v>
      </c>
      <c r="AB115" s="233">
        <v>44.1726474278544</v>
      </c>
      <c r="AC115" s="233">
        <v>10.7723295692179</v>
      </c>
      <c r="AD115" s="233">
        <v>16.466951066499401</v>
      </c>
      <c r="AE115" s="233">
        <v>72.362225010455901</v>
      </c>
      <c r="AF115" s="233">
        <v>16.534872438310298</v>
      </c>
      <c r="AG115" s="233">
        <v>55.7599665411961</v>
      </c>
      <c r="AH115" s="233">
        <v>65.202977833542406</v>
      </c>
      <c r="AI115" s="233">
        <v>67.728515265579205</v>
      </c>
      <c r="AJ115" s="233">
        <v>39.225094102885798</v>
      </c>
      <c r="AK115" s="233">
        <v>51.193642827268903</v>
      </c>
      <c r="AL115" s="233">
        <v>16.602258469259699</v>
      </c>
      <c r="AM115" s="236">
        <v>4.6337097448766196</v>
      </c>
    </row>
    <row r="116" spans="1:39">
      <c r="A116" s="236" t="s">
        <v>447</v>
      </c>
      <c r="B116" s="237">
        <v>499</v>
      </c>
      <c r="C116" s="236" t="s">
        <v>448</v>
      </c>
      <c r="D116" s="236" t="s">
        <v>67</v>
      </c>
      <c r="E116" s="236" t="s">
        <v>68</v>
      </c>
      <c r="F116" s="238">
        <v>310.56299999999993</v>
      </c>
      <c r="G116" s="238">
        <v>317.49899999999991</v>
      </c>
      <c r="H116" s="235">
        <f t="shared" si="1"/>
        <v>628.0619999999999</v>
      </c>
      <c r="I116" s="236">
        <v>2.3340049351413801</v>
      </c>
      <c r="J116" s="236">
        <v>6.1443480341902497</v>
      </c>
      <c r="K116" s="236">
        <v>19.553314726837002</v>
      </c>
      <c r="L116" s="236">
        <v>33.872016196060301</v>
      </c>
      <c r="M116" s="236">
        <v>8.0100643250078392</v>
      </c>
      <c r="N116" s="236">
        <v>13.4089666926468</v>
      </c>
      <c r="O116" s="236">
        <v>80.446685273162998</v>
      </c>
      <c r="P116" s="236">
        <v>14.318701469223299</v>
      </c>
      <c r="Q116" s="236">
        <v>48.802920982759403</v>
      </c>
      <c r="R116" s="236">
        <v>62.226764248361199</v>
      </c>
      <c r="S116" s="236">
        <v>68.707452192839199</v>
      </c>
      <c r="T116" s="236">
        <v>34.484219513536097</v>
      </c>
      <c r="U116" s="236">
        <v>54.3887507236159</v>
      </c>
      <c r="V116" s="236">
        <v>58.467842347135097</v>
      </c>
      <c r="W116" s="236">
        <v>31.643764290403599</v>
      </c>
      <c r="X116" s="236">
        <v>11.7392330803238</v>
      </c>
      <c r="Y116" s="236">
        <v>2.14581293236883</v>
      </c>
      <c r="Z116" s="236">
        <v>5.6145560223647202</v>
      </c>
      <c r="AA116" s="236">
        <v>17.777426793442199</v>
      </c>
      <c r="AB116" s="236">
        <v>30.8374135262343</v>
      </c>
      <c r="AC116" s="236">
        <v>7.2562150551220901</v>
      </c>
      <c r="AD116" s="236">
        <v>12.1628707710775</v>
      </c>
      <c r="AE116" s="236">
        <v>82.222573206557797</v>
      </c>
      <c r="AF116" s="236">
        <v>13.059986732792099</v>
      </c>
      <c r="AG116" s="236">
        <v>46.657927156710997</v>
      </c>
      <c r="AH116" s="236">
        <v>59.962725463562599</v>
      </c>
      <c r="AI116" s="236">
        <v>66.716050162681199</v>
      </c>
      <c r="AJ116" s="236">
        <v>33.597940423918899</v>
      </c>
      <c r="AK116" s="236">
        <v>53.656063429889102</v>
      </c>
      <c r="AL116" s="236">
        <v>35.5646460498468</v>
      </c>
      <c r="AM116" s="233">
        <v>15.5065230438765</v>
      </c>
    </row>
    <row r="117" spans="1:39">
      <c r="A117" s="233" t="s">
        <v>449</v>
      </c>
      <c r="B117" s="234">
        <v>504</v>
      </c>
      <c r="C117" s="233" t="s">
        <v>450</v>
      </c>
      <c r="D117" s="233" t="s">
        <v>451</v>
      </c>
      <c r="E117" s="233" t="s">
        <v>452</v>
      </c>
      <c r="F117" s="235">
        <v>18316.886999999999</v>
      </c>
      <c r="G117" s="235">
        <v>18593.670999999995</v>
      </c>
      <c r="H117" s="235">
        <f t="shared" si="1"/>
        <v>36910.55799999999</v>
      </c>
      <c r="I117" s="233">
        <v>4.2463640567360699</v>
      </c>
      <c r="J117" s="233">
        <v>10.335591936178</v>
      </c>
      <c r="K117" s="233">
        <v>28.253719525460301</v>
      </c>
      <c r="L117" s="233">
        <v>46.498053123431397</v>
      </c>
      <c r="M117" s="233">
        <v>11.0628217914561</v>
      </c>
      <c r="N117" s="233">
        <v>17.9181275892823</v>
      </c>
      <c r="O117" s="233">
        <v>71.746280474539702</v>
      </c>
      <c r="P117" s="233">
        <v>18.244333597971</v>
      </c>
      <c r="Q117" s="233">
        <v>52.358053886265999</v>
      </c>
      <c r="R117" s="233">
        <v>62.430197093882299</v>
      </c>
      <c r="S117" s="233">
        <v>65.937070611181298</v>
      </c>
      <c r="T117" s="233">
        <v>34.113720288294999</v>
      </c>
      <c r="U117" s="233">
        <v>47.692737013210198</v>
      </c>
      <c r="V117" s="233">
        <v>49.828509345666802</v>
      </c>
      <c r="W117" s="233">
        <v>19.3882265882736</v>
      </c>
      <c r="X117" s="233">
        <v>5.8092098633584097</v>
      </c>
      <c r="Y117" s="233">
        <v>3.9271871396811902</v>
      </c>
      <c r="Z117" s="233">
        <v>9.5742428779623303</v>
      </c>
      <c r="AA117" s="233">
        <v>26.2140743687388</v>
      </c>
      <c r="AB117" s="233">
        <v>43.3577174283296</v>
      </c>
      <c r="AC117" s="233">
        <v>10.2747160193894</v>
      </c>
      <c r="AD117" s="233">
        <v>16.639831490776501</v>
      </c>
      <c r="AE117" s="233">
        <v>73.785925631261094</v>
      </c>
      <c r="AF117" s="233">
        <v>17.143643059590801</v>
      </c>
      <c r="AG117" s="233">
        <v>53.849683639759597</v>
      </c>
      <c r="AH117" s="233">
        <v>63.814926254498197</v>
      </c>
      <c r="AI117" s="233">
        <v>67.266895852123497</v>
      </c>
      <c r="AJ117" s="233">
        <v>36.706040580168903</v>
      </c>
      <c r="AK117" s="233">
        <v>50.123252792532803</v>
      </c>
      <c r="AL117" s="233">
        <v>19.9362419915015</v>
      </c>
      <c r="AM117" s="236">
        <v>6.5190297791376004</v>
      </c>
    </row>
    <row r="118" spans="1:39">
      <c r="A118" s="236" t="s">
        <v>453</v>
      </c>
      <c r="B118" s="237">
        <v>508</v>
      </c>
      <c r="C118" s="236" t="s">
        <v>454</v>
      </c>
      <c r="D118" s="236" t="s">
        <v>455</v>
      </c>
      <c r="E118" s="236" t="s">
        <v>456</v>
      </c>
      <c r="F118" s="238">
        <v>15188.235000000001</v>
      </c>
      <c r="G118" s="238">
        <v>16067.199999999999</v>
      </c>
      <c r="H118" s="235">
        <f t="shared" si="1"/>
        <v>31255.434999999998</v>
      </c>
      <c r="I118" s="236">
        <v>7.4098066763255304</v>
      </c>
      <c r="J118" s="236">
        <v>17.750252447644598</v>
      </c>
      <c r="K118" s="236">
        <v>46.579875898201401</v>
      </c>
      <c r="L118" s="236">
        <v>66.972252711068194</v>
      </c>
      <c r="M118" s="236">
        <v>18.280012000409801</v>
      </c>
      <c r="N118" s="236">
        <v>28.829623450556799</v>
      </c>
      <c r="O118" s="236">
        <v>53.420124101798599</v>
      </c>
      <c r="P118" s="236">
        <v>20.3923768128668</v>
      </c>
      <c r="Q118" s="236">
        <v>44.615496626714098</v>
      </c>
      <c r="R118" s="236">
        <v>48.902372276126499</v>
      </c>
      <c r="S118" s="236">
        <v>50.530769343343401</v>
      </c>
      <c r="T118" s="236">
        <v>24.223119813847301</v>
      </c>
      <c r="U118" s="236">
        <v>30.138392530476601</v>
      </c>
      <c r="V118" s="236">
        <v>31.358929329294199</v>
      </c>
      <c r="W118" s="236">
        <v>8.8046274750845104</v>
      </c>
      <c r="X118" s="236">
        <v>2.8893547584551702</v>
      </c>
      <c r="Y118" s="236">
        <v>6.9552643882126004</v>
      </c>
      <c r="Z118" s="236">
        <v>16.701609030341199</v>
      </c>
      <c r="AA118" s="236">
        <v>44.084723068171698</v>
      </c>
      <c r="AB118" s="236">
        <v>63.708487266643999</v>
      </c>
      <c r="AC118" s="236">
        <v>17.329530467563401</v>
      </c>
      <c r="AD118" s="236">
        <v>27.383114037830499</v>
      </c>
      <c r="AE118" s="236">
        <v>55.915276931828203</v>
      </c>
      <c r="AF118" s="236">
        <v>19.623764198472301</v>
      </c>
      <c r="AG118" s="236">
        <v>45.0529194266243</v>
      </c>
      <c r="AH118" s="236">
        <v>50.2222418177398</v>
      </c>
      <c r="AI118" s="236">
        <v>52.127967239027299</v>
      </c>
      <c r="AJ118" s="236">
        <v>25.429155228151998</v>
      </c>
      <c r="AK118" s="236">
        <v>32.504203040555097</v>
      </c>
      <c r="AL118" s="236">
        <v>10.862357505204001</v>
      </c>
      <c r="AM118" s="233">
        <v>3.7873096928008998</v>
      </c>
    </row>
    <row r="119" spans="1:39">
      <c r="A119" s="233" t="s">
        <v>457</v>
      </c>
      <c r="B119" s="234">
        <v>104</v>
      </c>
      <c r="C119" s="233" t="s">
        <v>458</v>
      </c>
      <c r="D119" s="233" t="s">
        <v>459</v>
      </c>
      <c r="E119" s="233" t="s">
        <v>460</v>
      </c>
      <c r="F119" s="235">
        <v>26220.190000000002</v>
      </c>
      <c r="G119" s="235">
        <v>28189.603999999999</v>
      </c>
      <c r="H119" s="235">
        <f t="shared" si="1"/>
        <v>54409.794000000002</v>
      </c>
      <c r="I119" s="233">
        <v>3.42562957319435</v>
      </c>
      <c r="J119" s="233">
        <v>8.7377117829272297</v>
      </c>
      <c r="K119" s="233">
        <v>28.380700743923001</v>
      </c>
      <c r="L119" s="233">
        <v>46.587189876401702</v>
      </c>
      <c r="M119" s="233">
        <v>11.5392627540613</v>
      </c>
      <c r="N119" s="233">
        <v>19.642988960995801</v>
      </c>
      <c r="O119" s="233">
        <v>71.619299256076999</v>
      </c>
      <c r="P119" s="233">
        <v>18.206489132478701</v>
      </c>
      <c r="Q119" s="233">
        <v>54.488481937182897</v>
      </c>
      <c r="R119" s="233">
        <v>63.637422373220403</v>
      </c>
      <c r="S119" s="233">
        <v>66.883970766794505</v>
      </c>
      <c r="T119" s="233">
        <v>36.281992804704203</v>
      </c>
      <c r="U119" s="233">
        <v>48.677481634315797</v>
      </c>
      <c r="V119" s="233">
        <v>50.647051845560298</v>
      </c>
      <c r="W119" s="233">
        <v>17.130817318894099</v>
      </c>
      <c r="X119" s="233">
        <v>4.7353284892825496</v>
      </c>
      <c r="Y119" s="233">
        <v>3.2167859061895299</v>
      </c>
      <c r="Z119" s="233">
        <v>8.2135695411500595</v>
      </c>
      <c r="AA119" s="233">
        <v>26.757461404526602</v>
      </c>
      <c r="AB119" s="233">
        <v>44.207919768291099</v>
      </c>
      <c r="AC119" s="233">
        <v>10.8782690187311</v>
      </c>
      <c r="AD119" s="233">
        <v>18.543891863376501</v>
      </c>
      <c r="AE119" s="233">
        <v>73.242538595473405</v>
      </c>
      <c r="AF119" s="233">
        <v>17.450458363764501</v>
      </c>
      <c r="AG119" s="233">
        <v>53.595116059439398</v>
      </c>
      <c r="AH119" s="233">
        <v>63.503610201954302</v>
      </c>
      <c r="AI119" s="233">
        <v>67.286320344152898</v>
      </c>
      <c r="AJ119" s="233">
        <v>36.144657695674901</v>
      </c>
      <c r="AK119" s="233">
        <v>49.835861980388302</v>
      </c>
      <c r="AL119" s="233">
        <v>19.647422536034</v>
      </c>
      <c r="AM119" s="236">
        <v>5.9562182513205597</v>
      </c>
    </row>
    <row r="120" spans="1:39">
      <c r="A120" s="236" t="s">
        <v>461</v>
      </c>
      <c r="B120" s="237">
        <v>516</v>
      </c>
      <c r="C120" s="236" t="s">
        <v>462</v>
      </c>
      <c r="D120" s="236" t="s">
        <v>463</v>
      </c>
      <c r="E120" s="236" t="s">
        <v>464</v>
      </c>
      <c r="F120" s="238">
        <v>1231.6830000000002</v>
      </c>
      <c r="G120" s="238">
        <v>1309.2330000000002</v>
      </c>
      <c r="H120" s="235">
        <f t="shared" si="1"/>
        <v>2540.9160000000002</v>
      </c>
      <c r="I120" s="236">
        <v>6.0149333048125504</v>
      </c>
      <c r="J120" s="236">
        <v>14.2327630290411</v>
      </c>
      <c r="K120" s="236">
        <v>37.873290841819902</v>
      </c>
      <c r="L120" s="236">
        <v>59.463915079362401</v>
      </c>
      <c r="M120" s="236">
        <v>14.5859584153584</v>
      </c>
      <c r="N120" s="236">
        <v>23.640527812778899</v>
      </c>
      <c r="O120" s="236">
        <v>62.126709158179999</v>
      </c>
      <c r="P120" s="236">
        <v>21.590624237542499</v>
      </c>
      <c r="Q120" s="236">
        <v>52.1731501318529</v>
      </c>
      <c r="R120" s="236">
        <v>57.515867471933198</v>
      </c>
      <c r="S120" s="236">
        <v>59.174975016460699</v>
      </c>
      <c r="T120" s="236">
        <v>30.5825258943104</v>
      </c>
      <c r="U120" s="236">
        <v>37.5843507789182</v>
      </c>
      <c r="V120" s="236">
        <v>38.818153256884301</v>
      </c>
      <c r="W120" s="236">
        <v>9.9535590263271292</v>
      </c>
      <c r="X120" s="236">
        <v>2.9517341417193301</v>
      </c>
      <c r="Y120" s="236">
        <v>5.6157402051595797</v>
      </c>
      <c r="Z120" s="236">
        <v>13.304232347259401</v>
      </c>
      <c r="AA120" s="236">
        <v>35.5681506637656</v>
      </c>
      <c r="AB120" s="236">
        <v>56.134106471892402</v>
      </c>
      <c r="AC120" s="236">
        <v>13.710320258755299</v>
      </c>
      <c r="AD120" s="236">
        <v>22.2639183165061</v>
      </c>
      <c r="AE120" s="236">
        <v>64.431849336234393</v>
      </c>
      <c r="AF120" s="236">
        <v>20.565955808126802</v>
      </c>
      <c r="AG120" s="236">
        <v>51.849066829788498</v>
      </c>
      <c r="AH120" s="236">
        <v>58.181502675822202</v>
      </c>
      <c r="AI120" s="236">
        <v>60.362967318044902</v>
      </c>
      <c r="AJ120" s="236">
        <v>31.2831110216617</v>
      </c>
      <c r="AK120" s="236">
        <v>39.7970115099181</v>
      </c>
      <c r="AL120" s="236">
        <v>12.5827825064459</v>
      </c>
      <c r="AM120" s="233">
        <v>4.0688820181895702</v>
      </c>
    </row>
    <row r="121" spans="1:39">
      <c r="A121" s="236" t="s">
        <v>465</v>
      </c>
      <c r="B121" s="237">
        <v>524</v>
      </c>
      <c r="C121" s="236" t="s">
        <v>466</v>
      </c>
      <c r="D121" s="236" t="s">
        <v>467</v>
      </c>
      <c r="E121" s="236" t="s">
        <v>468</v>
      </c>
      <c r="F121" s="238">
        <v>13348.434999999998</v>
      </c>
      <c r="G121" s="238">
        <v>15788.373000000001</v>
      </c>
      <c r="H121" s="235">
        <f t="shared" si="1"/>
        <v>29136.807999999997</v>
      </c>
      <c r="I121" s="236">
        <v>4.0730513549334404</v>
      </c>
      <c r="J121" s="236">
        <v>10.4559036489199</v>
      </c>
      <c r="K121" s="236">
        <v>34.586101285480098</v>
      </c>
      <c r="L121" s="236">
        <v>55.775193551580998</v>
      </c>
      <c r="M121" s="236">
        <v>14.085549480359401</v>
      </c>
      <c r="N121" s="236">
        <v>24.130197636560201</v>
      </c>
      <c r="O121" s="236">
        <v>65.413898714519902</v>
      </c>
      <c r="P121" s="236">
        <v>21.1890922661009</v>
      </c>
      <c r="Q121" s="236">
        <v>49.751086963444799</v>
      </c>
      <c r="R121" s="236">
        <v>57.0607098541509</v>
      </c>
      <c r="S121" s="236">
        <v>60.067779965826297</v>
      </c>
      <c r="T121" s="236">
        <v>28.561994697343899</v>
      </c>
      <c r="U121" s="236">
        <v>38.878687699725397</v>
      </c>
      <c r="V121" s="236">
        <v>41.046817161428798</v>
      </c>
      <c r="W121" s="236">
        <v>15.6628117510751</v>
      </c>
      <c r="X121" s="236">
        <v>5.3461187486935904</v>
      </c>
      <c r="Y121" s="236">
        <v>3.5614470973710102</v>
      </c>
      <c r="Z121" s="236">
        <v>9.2704079980252008</v>
      </c>
      <c r="AA121" s="236">
        <v>30.8572949946752</v>
      </c>
      <c r="AB121" s="236">
        <v>51.5212800672344</v>
      </c>
      <c r="AC121" s="236">
        <v>12.628013935689101</v>
      </c>
      <c r="AD121" s="236">
        <v>21.586886996650001</v>
      </c>
      <c r="AE121" s="236">
        <v>69.1427050053248</v>
      </c>
      <c r="AF121" s="236">
        <v>20.663985072559299</v>
      </c>
      <c r="AG121" s="236">
        <v>53.385706474717502</v>
      </c>
      <c r="AH121" s="236">
        <v>60.283496996848697</v>
      </c>
      <c r="AI121" s="236">
        <v>63.406602932199199</v>
      </c>
      <c r="AJ121" s="236">
        <v>32.721721402158302</v>
      </c>
      <c r="AK121" s="236">
        <v>42.7426178596399</v>
      </c>
      <c r="AL121" s="236">
        <v>15.7569985306073</v>
      </c>
      <c r="AM121" s="233">
        <v>5.7361020731256298</v>
      </c>
    </row>
    <row r="122" spans="1:39">
      <c r="A122" s="233" t="s">
        <v>469</v>
      </c>
      <c r="B122" s="234">
        <v>528</v>
      </c>
      <c r="C122" s="233" t="s">
        <v>470</v>
      </c>
      <c r="D122" s="233" t="s">
        <v>67</v>
      </c>
      <c r="E122" s="233" t="s">
        <v>68</v>
      </c>
      <c r="F122" s="235">
        <v>8537.1450000000004</v>
      </c>
      <c r="G122" s="235">
        <v>8597.7279999999992</v>
      </c>
      <c r="H122" s="235">
        <f t="shared" si="1"/>
        <v>17134.873</v>
      </c>
      <c r="I122" s="233">
        <v>2.1759330792728999</v>
      </c>
      <c r="J122" s="233">
        <v>5.4067518301612303</v>
      </c>
      <c r="K122" s="233">
        <v>17.076536915225098</v>
      </c>
      <c r="L122" s="233">
        <v>29.369180344417199</v>
      </c>
      <c r="M122" s="233">
        <v>6.8048381156356603</v>
      </c>
      <c r="N122" s="233">
        <v>11.6697850850639</v>
      </c>
      <c r="O122" s="233">
        <v>82.923463084774895</v>
      </c>
      <c r="P122" s="233">
        <v>12.292643429192101</v>
      </c>
      <c r="Q122" s="233">
        <v>45.1804901206172</v>
      </c>
      <c r="R122" s="233">
        <v>59.973375793661098</v>
      </c>
      <c r="S122" s="233">
        <v>66.271846883791696</v>
      </c>
      <c r="T122" s="233">
        <v>32.887846691425104</v>
      </c>
      <c r="U122" s="233">
        <v>53.979203454599698</v>
      </c>
      <c r="V122" s="233">
        <v>60.1829077975855</v>
      </c>
      <c r="W122" s="233">
        <v>37.742972964157701</v>
      </c>
      <c r="X122" s="233">
        <v>16.651616200983099</v>
      </c>
      <c r="Y122" s="233">
        <v>2.03574415409682</v>
      </c>
      <c r="Z122" s="233">
        <v>5.0484714116802296</v>
      </c>
      <c r="AA122" s="233">
        <v>15.9780336292598</v>
      </c>
      <c r="AB122" s="233">
        <v>27.523798719965701</v>
      </c>
      <c r="AC122" s="233">
        <v>6.3601563670366996</v>
      </c>
      <c r="AD122" s="233">
        <v>10.9295622175795</v>
      </c>
      <c r="AE122" s="233">
        <v>84.021966370740202</v>
      </c>
      <c r="AF122" s="233">
        <v>11.545765090705901</v>
      </c>
      <c r="AG122" s="233">
        <v>43.5508803476366</v>
      </c>
      <c r="AH122" s="233">
        <v>57.9744056493534</v>
      </c>
      <c r="AI122" s="233">
        <v>64.235550988743597</v>
      </c>
      <c r="AJ122" s="233">
        <v>32.005115256930701</v>
      </c>
      <c r="AK122" s="233">
        <v>52.689785898037599</v>
      </c>
      <c r="AL122" s="233">
        <v>40.471086023103602</v>
      </c>
      <c r="AM122" s="236">
        <v>19.786415381996601</v>
      </c>
    </row>
    <row r="123" spans="1:39">
      <c r="A123" s="236" t="s">
        <v>471</v>
      </c>
      <c r="B123" s="237">
        <v>554</v>
      </c>
      <c r="C123" s="236" t="s">
        <v>472</v>
      </c>
      <c r="D123" s="236" t="s">
        <v>198</v>
      </c>
      <c r="E123" s="236" t="s">
        <v>199</v>
      </c>
      <c r="F123" s="238">
        <v>2370.163</v>
      </c>
      <c r="G123" s="238">
        <v>2452.0699999999993</v>
      </c>
      <c r="H123" s="235">
        <f t="shared" si="1"/>
        <v>4822.2329999999993</v>
      </c>
      <c r="I123" s="236">
        <v>2.7884577585610901</v>
      </c>
      <c r="J123" s="236">
        <v>7.1564029654022798</v>
      </c>
      <c r="K123" s="236">
        <v>21.192992888330199</v>
      </c>
      <c r="L123" s="236">
        <v>35.701946977190097</v>
      </c>
      <c r="M123" s="236">
        <v>8.5830746867661691</v>
      </c>
      <c r="N123" s="236">
        <v>14.036589922927901</v>
      </c>
      <c r="O123" s="236">
        <v>78.807007111669805</v>
      </c>
      <c r="P123" s="236">
        <v>14.5089540888599</v>
      </c>
      <c r="Q123" s="236">
        <v>45.829084059042302</v>
      </c>
      <c r="R123" s="236">
        <v>59.2265319189218</v>
      </c>
      <c r="S123" s="236">
        <v>64.682758256093294</v>
      </c>
      <c r="T123" s="236">
        <v>31.3201299701824</v>
      </c>
      <c r="U123" s="236">
        <v>50.173804167233399</v>
      </c>
      <c r="V123" s="236">
        <v>55.265206678526198</v>
      </c>
      <c r="W123" s="236">
        <v>32.977923052627403</v>
      </c>
      <c r="X123" s="236">
        <v>14.1242488555765</v>
      </c>
      <c r="Y123" s="236">
        <v>2.53135199358384</v>
      </c>
      <c r="Z123" s="236">
        <v>6.4958454316592</v>
      </c>
      <c r="AA123" s="236">
        <v>19.2643785984556</v>
      </c>
      <c r="AB123" s="236">
        <v>32.6353554867122</v>
      </c>
      <c r="AC123" s="236">
        <v>7.80516393906374</v>
      </c>
      <c r="AD123" s="236">
        <v>12.7685331667965</v>
      </c>
      <c r="AE123" s="236">
        <v>80.735621401544293</v>
      </c>
      <c r="AF123" s="236">
        <v>13.3709768882566</v>
      </c>
      <c r="AG123" s="236">
        <v>45.940209976405797</v>
      </c>
      <c r="AH123" s="236">
        <v>59.671944797514698</v>
      </c>
      <c r="AI123" s="236">
        <v>65.169432707826701</v>
      </c>
      <c r="AJ123" s="236">
        <v>32.569233088149197</v>
      </c>
      <c r="AK123" s="236">
        <v>51.798455819570101</v>
      </c>
      <c r="AL123" s="236">
        <v>34.795411425138496</v>
      </c>
      <c r="AM123" s="233">
        <v>15.566188693717701</v>
      </c>
    </row>
    <row r="124" spans="1:39">
      <c r="A124" s="233" t="s">
        <v>473</v>
      </c>
      <c r="B124" s="234">
        <v>558</v>
      </c>
      <c r="C124" s="233" t="s">
        <v>474</v>
      </c>
      <c r="D124" s="233" t="s">
        <v>475</v>
      </c>
      <c r="E124" s="233" t="s">
        <v>476</v>
      </c>
      <c r="F124" s="235">
        <v>3264.8490000000002</v>
      </c>
      <c r="G124" s="235">
        <v>3359.704999999999</v>
      </c>
      <c r="H124" s="235">
        <f t="shared" si="1"/>
        <v>6624.5539999999992</v>
      </c>
      <c r="I124" s="233">
        <v>4.0434320122295997</v>
      </c>
      <c r="J124" s="233">
        <v>10.322174349135199</v>
      </c>
      <c r="K124" s="233">
        <v>31.2893078089763</v>
      </c>
      <c r="L124" s="233">
        <v>51.726683329036</v>
      </c>
      <c r="M124" s="233">
        <v>12.672629139755401</v>
      </c>
      <c r="N124" s="233">
        <v>20.967133459841001</v>
      </c>
      <c r="O124" s="233">
        <v>68.710692191023796</v>
      </c>
      <c r="P124" s="233">
        <v>20.4373755200597</v>
      </c>
      <c r="Q124" s="233">
        <v>54.841688033881603</v>
      </c>
      <c r="R124" s="233">
        <v>61.738548012273597</v>
      </c>
      <c r="S124" s="233">
        <v>64.1799976183908</v>
      </c>
      <c r="T124" s="233">
        <v>34.4043125138219</v>
      </c>
      <c r="U124" s="233">
        <v>43.742622098331097</v>
      </c>
      <c r="V124" s="233">
        <v>45.169452826960097</v>
      </c>
      <c r="W124" s="233">
        <v>13.8690041571422</v>
      </c>
      <c r="X124" s="233">
        <v>4.5306945726329104</v>
      </c>
      <c r="Y124" s="233">
        <v>3.7744089850421201</v>
      </c>
      <c r="Z124" s="233">
        <v>9.6007242403598596</v>
      </c>
      <c r="AA124" s="233">
        <v>28.814299596732798</v>
      </c>
      <c r="AB124" s="233">
        <v>47.678594994453697</v>
      </c>
      <c r="AC124" s="233">
        <v>11.6477343656525</v>
      </c>
      <c r="AD124" s="233">
        <v>19.2135753563729</v>
      </c>
      <c r="AE124" s="233">
        <v>71.185700403267305</v>
      </c>
      <c r="AF124" s="233">
        <v>18.864295397721001</v>
      </c>
      <c r="AG124" s="233">
        <v>54.697494438336001</v>
      </c>
      <c r="AH124" s="233">
        <v>62.634858801339398</v>
      </c>
      <c r="AI124" s="233">
        <v>65.561164685889594</v>
      </c>
      <c r="AJ124" s="233">
        <v>35.833199040615</v>
      </c>
      <c r="AK124" s="233">
        <v>46.6968692881686</v>
      </c>
      <c r="AL124" s="233">
        <v>16.4882059649313</v>
      </c>
      <c r="AM124" s="236">
        <v>5.6245357173776496</v>
      </c>
    </row>
    <row r="125" spans="1:39">
      <c r="A125" s="236" t="s">
        <v>477</v>
      </c>
      <c r="B125" s="237">
        <v>562</v>
      </c>
      <c r="C125" s="236" t="s">
        <v>478</v>
      </c>
      <c r="D125" s="236" t="s">
        <v>123</v>
      </c>
      <c r="E125" s="236" t="s">
        <v>124</v>
      </c>
      <c r="F125" s="238">
        <v>12170.164999999999</v>
      </c>
      <c r="G125" s="238">
        <v>12036.471</v>
      </c>
      <c r="H125" s="235">
        <f t="shared" si="1"/>
        <v>24206.635999999999</v>
      </c>
      <c r="I125" s="236">
        <v>9.0466843916561306</v>
      </c>
      <c r="J125" s="236">
        <v>21.0735700066456</v>
      </c>
      <c r="K125" s="236">
        <v>51.133290890409</v>
      </c>
      <c r="L125" s="236">
        <v>68.422314741371494</v>
      </c>
      <c r="M125" s="236">
        <v>19.6443369356641</v>
      </c>
      <c r="N125" s="236">
        <v>30.059720883763401</v>
      </c>
      <c r="O125" s="236">
        <v>48.866709109591</v>
      </c>
      <c r="P125" s="236">
        <v>17.289023850962501</v>
      </c>
      <c r="Q125" s="236">
        <v>38.9606302824116</v>
      </c>
      <c r="R125" s="236">
        <v>44.741516109781898</v>
      </c>
      <c r="S125" s="236">
        <v>46.483158351825303</v>
      </c>
      <c r="T125" s="236">
        <v>21.671606431449099</v>
      </c>
      <c r="U125" s="236">
        <v>29.194134500862699</v>
      </c>
      <c r="V125" s="236">
        <v>30.338667614569701</v>
      </c>
      <c r="W125" s="236">
        <v>9.9060788271793605</v>
      </c>
      <c r="X125" s="236">
        <v>2.3835507577657302</v>
      </c>
      <c r="Y125" s="236">
        <v>8.8358064086346797</v>
      </c>
      <c r="Z125" s="236">
        <v>20.580154032967702</v>
      </c>
      <c r="AA125" s="236">
        <v>49.787096509460802</v>
      </c>
      <c r="AB125" s="236">
        <v>68.213463776213999</v>
      </c>
      <c r="AC125" s="236">
        <v>19.073005831327698</v>
      </c>
      <c r="AD125" s="236">
        <v>29.206942476493101</v>
      </c>
      <c r="AE125" s="236">
        <v>50.212903490539198</v>
      </c>
      <c r="AF125" s="236">
        <v>18.4263672667532</v>
      </c>
      <c r="AG125" s="236">
        <v>41.4059421689945</v>
      </c>
      <c r="AH125" s="236">
        <v>45.922705906251899</v>
      </c>
      <c r="AI125" s="236">
        <v>47.433146926052899</v>
      </c>
      <c r="AJ125" s="236">
        <v>22.9795749022413</v>
      </c>
      <c r="AK125" s="236">
        <v>29.006779659299699</v>
      </c>
      <c r="AL125" s="236">
        <v>8.8069613215447102</v>
      </c>
      <c r="AM125" s="233">
        <v>2.7797565644862998</v>
      </c>
    </row>
    <row r="126" spans="1:39">
      <c r="A126" s="233" t="s">
        <v>479</v>
      </c>
      <c r="B126" s="234">
        <v>566</v>
      </c>
      <c r="C126" s="233" t="s">
        <v>480</v>
      </c>
      <c r="D126" s="233" t="s">
        <v>481</v>
      </c>
      <c r="E126" s="233" t="s">
        <v>482</v>
      </c>
      <c r="F126" s="235">
        <v>104469.637</v>
      </c>
      <c r="G126" s="235">
        <v>101669.95</v>
      </c>
      <c r="H126" s="235">
        <f t="shared" si="1"/>
        <v>206139.587</v>
      </c>
      <c r="I126" s="233">
        <v>7.2142588099121703</v>
      </c>
      <c r="J126" s="233">
        <v>17.173592329690099</v>
      </c>
      <c r="K126" s="233">
        <v>44.2550799421698</v>
      </c>
      <c r="L126" s="233">
        <v>63.410343580781998</v>
      </c>
      <c r="M126" s="233">
        <v>17.276414917940102</v>
      </c>
      <c r="N126" s="233">
        <v>27.081487612479702</v>
      </c>
      <c r="O126" s="233">
        <v>55.7449200578302</v>
      </c>
      <c r="P126" s="233">
        <v>19.155263638612102</v>
      </c>
      <c r="Q126" s="233">
        <v>46.529584611098599</v>
      </c>
      <c r="R126" s="233">
        <v>51.523701906315303</v>
      </c>
      <c r="S126" s="233">
        <v>53.173036228990597</v>
      </c>
      <c r="T126" s="233">
        <v>27.374320972486501</v>
      </c>
      <c r="U126" s="233">
        <v>34.017772590378499</v>
      </c>
      <c r="V126" s="233">
        <v>35.245533007971297</v>
      </c>
      <c r="W126" s="233">
        <v>9.2153354467315296</v>
      </c>
      <c r="X126" s="233">
        <v>2.57188382883953</v>
      </c>
      <c r="Y126" s="233">
        <v>7.12168716562193</v>
      </c>
      <c r="Z126" s="233">
        <v>16.9706462858001</v>
      </c>
      <c r="AA126" s="233">
        <v>43.7132136875112</v>
      </c>
      <c r="AB126" s="233">
        <v>62.613147401856899</v>
      </c>
      <c r="AC126" s="233">
        <v>17.078159720198201</v>
      </c>
      <c r="AD126" s="233">
        <v>26.742567401711099</v>
      </c>
      <c r="AE126" s="233">
        <v>56.2867863124888</v>
      </c>
      <c r="AF126" s="233">
        <v>18.8999337143457</v>
      </c>
      <c r="AG126" s="233">
        <v>46.260151710357299</v>
      </c>
      <c r="AH126" s="233">
        <v>51.543114328818298</v>
      </c>
      <c r="AI126" s="233">
        <v>53.3790070733777</v>
      </c>
      <c r="AJ126" s="233">
        <v>27.360217996011599</v>
      </c>
      <c r="AK126" s="233">
        <v>34.479073359031901</v>
      </c>
      <c r="AL126" s="233">
        <v>10.0266346021315</v>
      </c>
      <c r="AM126" s="236">
        <v>2.9077792391111901</v>
      </c>
    </row>
    <row r="127" spans="1:39">
      <c r="A127" s="236" t="s">
        <v>483</v>
      </c>
      <c r="B127" s="237">
        <v>570</v>
      </c>
      <c r="C127" s="236" t="s">
        <v>484</v>
      </c>
      <c r="D127" s="236" t="s">
        <v>198</v>
      </c>
      <c r="E127" s="236" t="s">
        <v>199</v>
      </c>
      <c r="F127" s="238"/>
      <c r="G127" s="238"/>
      <c r="H127" s="235">
        <f t="shared" si="1"/>
        <v>0</v>
      </c>
      <c r="I127" s="236"/>
      <c r="J127" s="236"/>
      <c r="K127" s="236"/>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236"/>
      <c r="AM127" s="233"/>
    </row>
    <row r="128" spans="1:39">
      <c r="A128" s="233" t="s">
        <v>485</v>
      </c>
      <c r="B128" s="234">
        <v>578</v>
      </c>
      <c r="C128" s="233" t="s">
        <v>486</v>
      </c>
      <c r="D128" s="233" t="s">
        <v>487</v>
      </c>
      <c r="E128" s="233" t="s">
        <v>488</v>
      </c>
      <c r="F128" s="235">
        <v>2739.9829999999993</v>
      </c>
      <c r="G128" s="235">
        <v>2681.259</v>
      </c>
      <c r="H128" s="235">
        <f t="shared" si="1"/>
        <v>5421.2419999999993</v>
      </c>
      <c r="I128" s="233">
        <v>2.39655989551982</v>
      </c>
      <c r="J128" s="233">
        <v>6.1515831277306798</v>
      </c>
      <c r="K128" s="233">
        <v>18.2642208713489</v>
      </c>
      <c r="L128" s="233">
        <v>31.659659159312501</v>
      </c>
      <c r="M128" s="233">
        <v>7.3766269786239302</v>
      </c>
      <c r="N128" s="233">
        <v>12.112637743618199</v>
      </c>
      <c r="O128" s="233">
        <v>81.735779128651103</v>
      </c>
      <c r="P128" s="233">
        <v>13.3954382879636</v>
      </c>
      <c r="Q128" s="233">
        <v>48.800862845378198</v>
      </c>
      <c r="R128" s="233">
        <v>61.522765128367702</v>
      </c>
      <c r="S128" s="233">
        <v>66.951551430125804</v>
      </c>
      <c r="T128" s="233">
        <v>35.405424557414598</v>
      </c>
      <c r="U128" s="233">
        <v>53.556113142162197</v>
      </c>
      <c r="V128" s="233">
        <v>59.287398220971902</v>
      </c>
      <c r="W128" s="233">
        <v>32.934916283272997</v>
      </c>
      <c r="X128" s="233">
        <v>14.784227698525299</v>
      </c>
      <c r="Y128" s="233">
        <v>2.3233261012550299</v>
      </c>
      <c r="Z128" s="233">
        <v>5.9265405931490003</v>
      </c>
      <c r="AA128" s="233">
        <v>17.6684532258794</v>
      </c>
      <c r="AB128" s="233">
        <v>30.488062817386201</v>
      </c>
      <c r="AC128" s="233">
        <v>7.1206261940952702</v>
      </c>
      <c r="AD128" s="233">
        <v>11.741912632730401</v>
      </c>
      <c r="AE128" s="233">
        <v>82.331546774120596</v>
      </c>
      <c r="AF128" s="233">
        <v>12.819609591506801</v>
      </c>
      <c r="AG128" s="233">
        <v>46.647175758063199</v>
      </c>
      <c r="AH128" s="233">
        <v>59.0111682828963</v>
      </c>
      <c r="AI128" s="233">
        <v>64.426797537510197</v>
      </c>
      <c r="AJ128" s="233">
        <v>33.827566166556402</v>
      </c>
      <c r="AK128" s="233">
        <v>51.6071879460034</v>
      </c>
      <c r="AL128" s="233">
        <v>35.684371016057398</v>
      </c>
      <c r="AM128" s="236">
        <v>17.9047492366104</v>
      </c>
    </row>
    <row r="129" spans="1:39">
      <c r="A129" s="236" t="s">
        <v>489</v>
      </c>
      <c r="B129" s="237">
        <v>512</v>
      </c>
      <c r="C129" s="236" t="s">
        <v>490</v>
      </c>
      <c r="D129" s="236" t="s">
        <v>491</v>
      </c>
      <c r="E129" s="236" t="s">
        <v>492</v>
      </c>
      <c r="F129" s="238">
        <v>3370.2300000000009</v>
      </c>
      <c r="G129" s="238">
        <v>1736.3920000000001</v>
      </c>
      <c r="H129" s="235">
        <f t="shared" si="1"/>
        <v>5106.6220000000012</v>
      </c>
      <c r="I129" s="236">
        <v>2.7640251699860401</v>
      </c>
      <c r="J129" s="236">
        <v>6.6352047436620998</v>
      </c>
      <c r="K129" s="236">
        <v>15.7032417956327</v>
      </c>
      <c r="L129" s="236">
        <v>30.5199677569565</v>
      </c>
      <c r="M129" s="236">
        <v>6.0311680515888701</v>
      </c>
      <c r="N129" s="236">
        <v>9.06803705197059</v>
      </c>
      <c r="O129" s="236">
        <v>84.296758204367293</v>
      </c>
      <c r="P129" s="236">
        <v>14.816725961323799</v>
      </c>
      <c r="Q129" s="236">
        <v>74.468840845127602</v>
      </c>
      <c r="R129" s="236">
        <v>80.459486870964398</v>
      </c>
      <c r="S129" s="236">
        <v>82.169972943909997</v>
      </c>
      <c r="T129" s="236">
        <v>59.652114883803797</v>
      </c>
      <c r="U129" s="236">
        <v>67.353246982586299</v>
      </c>
      <c r="V129" s="236">
        <v>68.239024221562502</v>
      </c>
      <c r="W129" s="236">
        <v>9.8279173592396791</v>
      </c>
      <c r="X129" s="236">
        <v>2.1267852604572499</v>
      </c>
      <c r="Y129" s="236">
        <v>5.1380567942356503</v>
      </c>
      <c r="Z129" s="236">
        <v>12.4117509329234</v>
      </c>
      <c r="AA129" s="236">
        <v>30.011892210800401</v>
      </c>
      <c r="AB129" s="236">
        <v>49.1229659888062</v>
      </c>
      <c r="AC129" s="236">
        <v>11.7166717154547</v>
      </c>
      <c r="AD129" s="236">
        <v>17.600141277876901</v>
      </c>
      <c r="AE129" s="236">
        <v>69.988107789199603</v>
      </c>
      <c r="AF129" s="236">
        <v>19.111073778005899</v>
      </c>
      <c r="AG129" s="236">
        <v>59.4297030122084</v>
      </c>
      <c r="AH129" s="236">
        <v>64.609693408487502</v>
      </c>
      <c r="AI129" s="236">
        <v>66.512116429902804</v>
      </c>
      <c r="AJ129" s="236">
        <v>40.318629234202497</v>
      </c>
      <c r="AK129" s="236">
        <v>47.401042651896901</v>
      </c>
      <c r="AL129" s="236">
        <v>10.558404776991299</v>
      </c>
      <c r="AM129" s="233">
        <v>3.4759913592968901</v>
      </c>
    </row>
    <row r="130" spans="1:39">
      <c r="A130" s="233" t="s">
        <v>493</v>
      </c>
      <c r="B130" s="234">
        <v>586</v>
      </c>
      <c r="C130" s="233" t="s">
        <v>494</v>
      </c>
      <c r="D130" s="233" t="s">
        <v>495</v>
      </c>
      <c r="E130" s="233" t="s">
        <v>496</v>
      </c>
      <c r="F130" s="235">
        <v>113672.00700000001</v>
      </c>
      <c r="G130" s="235">
        <v>107220.32400000001</v>
      </c>
      <c r="H130" s="235">
        <f t="shared" si="1"/>
        <v>220892.33100000001</v>
      </c>
      <c r="I130" s="233">
        <v>5.4145814551149796</v>
      </c>
      <c r="J130" s="233">
        <v>13.1809679982555</v>
      </c>
      <c r="K130" s="233">
        <v>35.369740788119202</v>
      </c>
      <c r="L130" s="233">
        <v>55.331447415524003</v>
      </c>
      <c r="M130" s="233">
        <v>13.906283089438899</v>
      </c>
      <c r="N130" s="233">
        <v>22.188772789863599</v>
      </c>
      <c r="O130" s="233">
        <v>64.630259211880897</v>
      </c>
      <c r="P130" s="233">
        <v>19.961706627404801</v>
      </c>
      <c r="Q130" s="233">
        <v>51.452019639348499</v>
      </c>
      <c r="R130" s="233">
        <v>58.062946739141303</v>
      </c>
      <c r="S130" s="233">
        <v>60.133508629877703</v>
      </c>
      <c r="T130" s="233">
        <v>31.490313011943702</v>
      </c>
      <c r="U130" s="233">
        <v>40.171802002472802</v>
      </c>
      <c r="V130" s="233">
        <v>41.865931816167198</v>
      </c>
      <c r="W130" s="233">
        <v>13.1782395725324</v>
      </c>
      <c r="X130" s="233">
        <v>4.4967505820031901</v>
      </c>
      <c r="Y130" s="233">
        <v>5.2825059178979599</v>
      </c>
      <c r="Z130" s="233">
        <v>12.921476857330999</v>
      </c>
      <c r="AA130" s="233">
        <v>34.629643705083701</v>
      </c>
      <c r="AB130" s="233">
        <v>54.498897173564501</v>
      </c>
      <c r="AC130" s="233">
        <v>13.648730914474999</v>
      </c>
      <c r="AD130" s="233">
        <v>21.708166847752601</v>
      </c>
      <c r="AE130" s="233">
        <v>65.370356294916405</v>
      </c>
      <c r="AF130" s="233">
        <v>19.8692534684808</v>
      </c>
      <c r="AG130" s="233">
        <v>51.927633547993402</v>
      </c>
      <c r="AH130" s="233">
        <v>58.728305317590397</v>
      </c>
      <c r="AI130" s="233">
        <v>60.882591388457001</v>
      </c>
      <c r="AJ130" s="233">
        <v>32.058380079512503</v>
      </c>
      <c r="AK130" s="233">
        <v>41.013337919976202</v>
      </c>
      <c r="AL130" s="233">
        <v>13.442722746923</v>
      </c>
      <c r="AM130" s="236">
        <v>4.4877649064594101</v>
      </c>
    </row>
    <row r="131" spans="1:39">
      <c r="A131" s="233" t="s">
        <v>497</v>
      </c>
      <c r="B131" s="234">
        <v>591</v>
      </c>
      <c r="C131" s="233" t="s">
        <v>498</v>
      </c>
      <c r="D131" s="233" t="s">
        <v>499</v>
      </c>
      <c r="E131" s="233" t="s">
        <v>500</v>
      </c>
      <c r="F131" s="235">
        <v>2159.8799999999997</v>
      </c>
      <c r="G131" s="235">
        <v>2154.8879999999999</v>
      </c>
      <c r="H131" s="235">
        <f t="shared" si="1"/>
        <v>4314.768</v>
      </c>
      <c r="I131" s="233">
        <v>3.8411160863870402</v>
      </c>
      <c r="J131" s="233">
        <v>9.5500929056626696</v>
      </c>
      <c r="K131" s="233">
        <v>27.643242255322999</v>
      </c>
      <c r="L131" s="233">
        <v>44.778904830079099</v>
      </c>
      <c r="M131" s="233">
        <v>11.0196269558419</v>
      </c>
      <c r="N131" s="233">
        <v>18.093149349660401</v>
      </c>
      <c r="O131" s="233">
        <v>72.356757744676898</v>
      </c>
      <c r="P131" s="233">
        <v>17.1356625747561</v>
      </c>
      <c r="Q131" s="233">
        <v>52.765796501060997</v>
      </c>
      <c r="R131" s="233">
        <v>62.025191141978098</v>
      </c>
      <c r="S131" s="233">
        <v>65.238051722562403</v>
      </c>
      <c r="T131" s="233">
        <v>35.630133926305</v>
      </c>
      <c r="U131" s="233">
        <v>48.102389147806299</v>
      </c>
      <c r="V131" s="233">
        <v>50.548448018520197</v>
      </c>
      <c r="W131" s="233">
        <v>19.590961243615901</v>
      </c>
      <c r="X131" s="233">
        <v>7.1187060221145897</v>
      </c>
      <c r="Y131" s="233">
        <v>3.70240701112228</v>
      </c>
      <c r="Z131" s="233">
        <v>9.2015365920503296</v>
      </c>
      <c r="AA131" s="233">
        <v>26.68335884283</v>
      </c>
      <c r="AB131" s="233">
        <v>43.408061953627701</v>
      </c>
      <c r="AC131" s="233">
        <v>10.629932310946</v>
      </c>
      <c r="AD131" s="233">
        <v>17.4818222507797</v>
      </c>
      <c r="AE131" s="233">
        <v>73.316641157169997</v>
      </c>
      <c r="AF131" s="233">
        <v>16.724703110797599</v>
      </c>
      <c r="AG131" s="233">
        <v>52.199728386379299</v>
      </c>
      <c r="AH131" s="233">
        <v>61.746727698924303</v>
      </c>
      <c r="AI131" s="233">
        <v>65.168079428355895</v>
      </c>
      <c r="AJ131" s="233">
        <v>35.4750252755817</v>
      </c>
      <c r="AK131" s="233">
        <v>48.443376317558297</v>
      </c>
      <c r="AL131" s="233">
        <v>21.116912770790702</v>
      </c>
      <c r="AM131" s="236">
        <v>8.1485617288140606</v>
      </c>
    </row>
    <row r="132" spans="1:39">
      <c r="A132" s="236" t="s">
        <v>501</v>
      </c>
      <c r="B132" s="237">
        <v>598</v>
      </c>
      <c r="C132" s="236" t="s">
        <v>502</v>
      </c>
      <c r="D132" s="236" t="s">
        <v>503</v>
      </c>
      <c r="E132" s="236" t="s">
        <v>504</v>
      </c>
      <c r="F132" s="238">
        <v>4568.0720000000019</v>
      </c>
      <c r="G132" s="238">
        <v>4378.9550000000008</v>
      </c>
      <c r="H132" s="235">
        <f t="shared" si="1"/>
        <v>8947.0270000000019</v>
      </c>
      <c r="I132" s="236">
        <v>5.3798149011471699</v>
      </c>
      <c r="J132" s="236">
        <v>13.2956312513057</v>
      </c>
      <c r="K132" s="236">
        <v>37.7544903400957</v>
      </c>
      <c r="L132" s="236">
        <v>57.703738922729997</v>
      </c>
      <c r="M132" s="236">
        <v>15.088345441017101</v>
      </c>
      <c r="N132" s="236">
        <v>24.45885908879</v>
      </c>
      <c r="O132" s="236">
        <v>62.2455096599043</v>
      </c>
      <c r="P132" s="236">
        <v>19.949248582634301</v>
      </c>
      <c r="Q132" s="236">
        <v>51.8698472877862</v>
      </c>
      <c r="R132" s="236">
        <v>57.835338588057802</v>
      </c>
      <c r="S132" s="236">
        <v>59.740665042703597</v>
      </c>
      <c r="T132" s="236">
        <v>31.9205987051519</v>
      </c>
      <c r="U132" s="236">
        <v>39.7914164600693</v>
      </c>
      <c r="V132" s="236">
        <v>41.000949884583399</v>
      </c>
      <c r="W132" s="236">
        <v>10.3756623721181</v>
      </c>
      <c r="X132" s="236">
        <v>2.50484461720063</v>
      </c>
      <c r="Y132" s="236">
        <v>5.1921845031242899</v>
      </c>
      <c r="Z132" s="236">
        <v>12.831982999212601</v>
      </c>
      <c r="AA132" s="236">
        <v>36.504593529380699</v>
      </c>
      <c r="AB132" s="236">
        <v>56.047649143356502</v>
      </c>
      <c r="AC132" s="236">
        <v>14.583367380810801</v>
      </c>
      <c r="AD132" s="236">
        <v>23.6726105301681</v>
      </c>
      <c r="AE132" s="236">
        <v>63.495406470619301</v>
      </c>
      <c r="AF132" s="236">
        <v>19.543055613975799</v>
      </c>
      <c r="AG132" s="236">
        <v>51.356598856594204</v>
      </c>
      <c r="AH132" s="236">
        <v>57.732376378186103</v>
      </c>
      <c r="AI132" s="236">
        <v>59.960005711938798</v>
      </c>
      <c r="AJ132" s="236">
        <v>31.813543242618302</v>
      </c>
      <c r="AK132" s="236">
        <v>40.416950097963003</v>
      </c>
      <c r="AL132" s="236">
        <v>12.138807614025099</v>
      </c>
      <c r="AM132" s="233">
        <v>3.5354007586804999</v>
      </c>
    </row>
    <row r="133" spans="1:39">
      <c r="A133" s="233" t="s">
        <v>505</v>
      </c>
      <c r="B133" s="234">
        <v>600</v>
      </c>
      <c r="C133" s="233" t="s">
        <v>506</v>
      </c>
      <c r="D133" s="233" t="s">
        <v>507</v>
      </c>
      <c r="E133" s="233" t="s">
        <v>508</v>
      </c>
      <c r="F133" s="235">
        <v>3624.3599999999997</v>
      </c>
      <c r="G133" s="235">
        <v>3508.1699999999996</v>
      </c>
      <c r="H133" s="235">
        <f t="shared" si="1"/>
        <v>7132.5299999999988</v>
      </c>
      <c r="I133" s="233">
        <v>4.0504273215071196</v>
      </c>
      <c r="J133" s="233">
        <v>10.1954334744382</v>
      </c>
      <c r="K133" s="233">
        <v>30.261765217448101</v>
      </c>
      <c r="L133" s="233">
        <v>50.480035475075702</v>
      </c>
      <c r="M133" s="233">
        <v>12.1138241787336</v>
      </c>
      <c r="N133" s="233">
        <v>20.066331743009901</v>
      </c>
      <c r="O133" s="233">
        <v>69.738234782551899</v>
      </c>
      <c r="P133" s="233">
        <v>20.218270257627701</v>
      </c>
      <c r="Q133" s="233">
        <v>53.459057334157301</v>
      </c>
      <c r="R133" s="233">
        <v>61.080024908537098</v>
      </c>
      <c r="S133" s="233">
        <v>64.068366692133196</v>
      </c>
      <c r="T133" s="233">
        <v>33.2407870765296</v>
      </c>
      <c r="U133" s="233">
        <v>43.850096434505602</v>
      </c>
      <c r="V133" s="233">
        <v>46.013832667582101</v>
      </c>
      <c r="W133" s="233">
        <v>16.279177448394599</v>
      </c>
      <c r="X133" s="233">
        <v>5.6698680904187002</v>
      </c>
      <c r="Y133" s="233">
        <v>4.0064562750363404</v>
      </c>
      <c r="Z133" s="233">
        <v>10.100682049555401</v>
      </c>
      <c r="AA133" s="233">
        <v>30.002015292368799</v>
      </c>
      <c r="AB133" s="233">
        <v>50.047354783505902</v>
      </c>
      <c r="AC133" s="233">
        <v>12.0218764726696</v>
      </c>
      <c r="AD133" s="233">
        <v>19.901333242813401</v>
      </c>
      <c r="AE133" s="233">
        <v>69.997984707631204</v>
      </c>
      <c r="AF133" s="233">
        <v>20.045339491137099</v>
      </c>
      <c r="AG133" s="233">
        <v>53.040537957680101</v>
      </c>
      <c r="AH133" s="233">
        <v>60.634520459804698</v>
      </c>
      <c r="AI133" s="233">
        <v>63.616296895685203</v>
      </c>
      <c r="AJ133" s="233">
        <v>32.995198466542902</v>
      </c>
      <c r="AK133" s="233">
        <v>43.570957404548103</v>
      </c>
      <c r="AL133" s="233">
        <v>16.957446749951099</v>
      </c>
      <c r="AM133" s="236">
        <v>6.3816878119460103</v>
      </c>
    </row>
    <row r="134" spans="1:39">
      <c r="A134" s="236" t="s">
        <v>509</v>
      </c>
      <c r="B134" s="237">
        <v>604</v>
      </c>
      <c r="C134" s="236" t="s">
        <v>510</v>
      </c>
      <c r="D134" s="236" t="s">
        <v>511</v>
      </c>
      <c r="E134" s="236" t="s">
        <v>512</v>
      </c>
      <c r="F134" s="238">
        <v>16378.606000000003</v>
      </c>
      <c r="G134" s="238">
        <v>16593.239999999998</v>
      </c>
      <c r="H134" s="235">
        <f t="shared" si="1"/>
        <v>32971.846000000005</v>
      </c>
      <c r="I134" s="236">
        <v>3.9931709779579099</v>
      </c>
      <c r="J134" s="236">
        <v>9.8330465150881405</v>
      </c>
      <c r="K134" s="236">
        <v>28.512921623458499</v>
      </c>
      <c r="L134" s="236">
        <v>46.736033465730003</v>
      </c>
      <c r="M134" s="236">
        <v>11.3098499672177</v>
      </c>
      <c r="N134" s="236">
        <v>18.6798751083703</v>
      </c>
      <c r="O134" s="236">
        <v>71.487078376541504</v>
      </c>
      <c r="P134" s="236">
        <v>18.2231118422715</v>
      </c>
      <c r="Q134" s="236">
        <v>53.917359594536101</v>
      </c>
      <c r="R134" s="236">
        <v>62.2996281273631</v>
      </c>
      <c r="S134" s="236">
        <v>65.277697314406296</v>
      </c>
      <c r="T134" s="236">
        <v>35.694247752264602</v>
      </c>
      <c r="U134" s="236">
        <v>47.054585472134796</v>
      </c>
      <c r="V134" s="236">
        <v>49.323127231688801</v>
      </c>
      <c r="W134" s="236">
        <v>17.569718782005499</v>
      </c>
      <c r="X134" s="236">
        <v>6.2093810621352201</v>
      </c>
      <c r="Y134" s="236">
        <v>3.8171212365703999</v>
      </c>
      <c r="Z134" s="236">
        <v>9.4175321497122795</v>
      </c>
      <c r="AA134" s="236">
        <v>27.279511489176802</v>
      </c>
      <c r="AB134" s="236">
        <v>44.669636099122002</v>
      </c>
      <c r="AC134" s="236">
        <v>10.8398018233061</v>
      </c>
      <c r="AD134" s="236">
        <v>17.861979339464501</v>
      </c>
      <c r="AE134" s="236">
        <v>72.720488510823202</v>
      </c>
      <c r="AF134" s="236">
        <v>17.3901246099452</v>
      </c>
      <c r="AG134" s="236">
        <v>52.920254653052602</v>
      </c>
      <c r="AH134" s="236">
        <v>61.9761682094801</v>
      </c>
      <c r="AI134" s="236">
        <v>65.280775151523002</v>
      </c>
      <c r="AJ134" s="236">
        <v>35.530130043107398</v>
      </c>
      <c r="AK134" s="236">
        <v>47.890650541577799</v>
      </c>
      <c r="AL134" s="236">
        <v>19.8002338577706</v>
      </c>
      <c r="AM134" s="233">
        <v>7.4397133593002698</v>
      </c>
    </row>
    <row r="135" spans="1:39">
      <c r="A135" s="233" t="s">
        <v>513</v>
      </c>
      <c r="B135" s="234">
        <v>608</v>
      </c>
      <c r="C135" s="233" t="s">
        <v>514</v>
      </c>
      <c r="D135" s="233" t="s">
        <v>515</v>
      </c>
      <c r="E135" s="233" t="s">
        <v>516</v>
      </c>
      <c r="F135" s="235">
        <v>55028.824999999997</v>
      </c>
      <c r="G135" s="235">
        <v>54552.26</v>
      </c>
      <c r="H135" s="235">
        <f t="shared" si="1"/>
        <v>109581.08499999999</v>
      </c>
      <c r="I135" s="233">
        <v>4.6667914127366501</v>
      </c>
      <c r="J135" s="233">
        <v>11.364907524037999</v>
      </c>
      <c r="K135" s="233">
        <v>32.635293922234503</v>
      </c>
      <c r="L135" s="233">
        <v>52.484004150470199</v>
      </c>
      <c r="M135" s="233">
        <v>12.8570229767619</v>
      </c>
      <c r="N135" s="233">
        <v>21.2703863981965</v>
      </c>
      <c r="O135" s="233">
        <v>67.364706077765504</v>
      </c>
      <c r="P135" s="233">
        <v>19.848710228235699</v>
      </c>
      <c r="Q135" s="233">
        <v>53.001031870941503</v>
      </c>
      <c r="R135" s="233">
        <v>60.952899122020099</v>
      </c>
      <c r="S135" s="233">
        <v>63.519062099533002</v>
      </c>
      <c r="T135" s="233">
        <v>33.1523216427058</v>
      </c>
      <c r="U135" s="233">
        <v>43.670351871297299</v>
      </c>
      <c r="V135" s="233">
        <v>45.410453274580398</v>
      </c>
      <c r="W135" s="233">
        <v>14.363674206823999</v>
      </c>
      <c r="X135" s="233">
        <v>3.8456439782324701</v>
      </c>
      <c r="Y135" s="233">
        <v>4.4417205908756801</v>
      </c>
      <c r="Z135" s="233">
        <v>10.9851838878787</v>
      </c>
      <c r="AA135" s="233">
        <v>31.249033437456301</v>
      </c>
      <c r="AB135" s="233">
        <v>50.5291525887218</v>
      </c>
      <c r="AC135" s="233">
        <v>12.416256720534999</v>
      </c>
      <c r="AD135" s="233">
        <v>20.2638495495776</v>
      </c>
      <c r="AE135" s="233">
        <v>68.750966562543695</v>
      </c>
      <c r="AF135" s="233">
        <v>19.280119151265499</v>
      </c>
      <c r="AG135" s="233">
        <v>52.329437028471602</v>
      </c>
      <c r="AH135" s="233">
        <v>60.607241521155501</v>
      </c>
      <c r="AI135" s="233">
        <v>63.423699785829299</v>
      </c>
      <c r="AJ135" s="233">
        <v>33.049317877206001</v>
      </c>
      <c r="AK135" s="233">
        <v>44.143580634563698</v>
      </c>
      <c r="AL135" s="233">
        <v>16.4215295340721</v>
      </c>
      <c r="AM135" s="236">
        <v>5.3272667767143904</v>
      </c>
    </row>
    <row r="136" spans="1:39">
      <c r="A136" s="236" t="s">
        <v>517</v>
      </c>
      <c r="B136" s="237">
        <v>616</v>
      </c>
      <c r="C136" s="236" t="s">
        <v>518</v>
      </c>
      <c r="D136" s="236" t="s">
        <v>519</v>
      </c>
      <c r="E136" s="236" t="s">
        <v>520</v>
      </c>
      <c r="F136" s="238">
        <v>18337.883000000002</v>
      </c>
      <c r="G136" s="238">
        <v>19508.721999999998</v>
      </c>
      <c r="H136" s="235">
        <f t="shared" ref="H136:H191" si="2">SUM(F136:G136)</f>
        <v>37846.604999999996</v>
      </c>
      <c r="I136" s="236">
        <v>2.0586400532471201</v>
      </c>
      <c r="J136" s="236">
        <v>5.4835609057814896</v>
      </c>
      <c r="K136" s="236">
        <v>15.8614150488867</v>
      </c>
      <c r="L136" s="236">
        <v>28.101959725468301</v>
      </c>
      <c r="M136" s="236">
        <v>6.5363845929301503</v>
      </c>
      <c r="N136" s="236">
        <v>10.3778541431052</v>
      </c>
      <c r="O136" s="236">
        <v>84.138584951113302</v>
      </c>
      <c r="P136" s="236">
        <v>12.2405446765815</v>
      </c>
      <c r="Q136" s="236">
        <v>50.810185476494297</v>
      </c>
      <c r="R136" s="236">
        <v>64.828295558343697</v>
      </c>
      <c r="S136" s="236">
        <v>71.6783728890818</v>
      </c>
      <c r="T136" s="236">
        <v>38.569640799912698</v>
      </c>
      <c r="U136" s="236">
        <v>59.4378282125003</v>
      </c>
      <c r="V136" s="236">
        <v>64.336555496512304</v>
      </c>
      <c r="W136" s="236">
        <v>33.328399474618998</v>
      </c>
      <c r="X136" s="236">
        <v>12.4602120620315</v>
      </c>
      <c r="Y136" s="236">
        <v>1.8276710020665501</v>
      </c>
      <c r="Z136" s="236">
        <v>4.8676336223895298</v>
      </c>
      <c r="AA136" s="236">
        <v>14.0891810842424</v>
      </c>
      <c r="AB136" s="236">
        <v>25.0560145955682</v>
      </c>
      <c r="AC136" s="236">
        <v>5.8042471133292697</v>
      </c>
      <c r="AD136" s="236">
        <v>9.2215474618528201</v>
      </c>
      <c r="AE136" s="236">
        <v>85.910818915757602</v>
      </c>
      <c r="AF136" s="236">
        <v>10.966833511325801</v>
      </c>
      <c r="AG136" s="236">
        <v>46.295794279767897</v>
      </c>
      <c r="AH136" s="236">
        <v>60.097886925774802</v>
      </c>
      <c r="AI136" s="236">
        <v>67.499271620921704</v>
      </c>
      <c r="AJ136" s="236">
        <v>35.328960768442101</v>
      </c>
      <c r="AK136" s="236">
        <v>56.532438109595901</v>
      </c>
      <c r="AL136" s="236">
        <v>39.615024635989798</v>
      </c>
      <c r="AM136" s="233">
        <v>18.411547294836001</v>
      </c>
    </row>
    <row r="137" spans="1:39">
      <c r="A137" s="233" t="s">
        <v>521</v>
      </c>
      <c r="B137" s="234">
        <v>620</v>
      </c>
      <c r="C137" s="233" t="s">
        <v>522</v>
      </c>
      <c r="D137" s="233" t="s">
        <v>67</v>
      </c>
      <c r="E137" s="233" t="s">
        <v>68</v>
      </c>
      <c r="F137" s="235">
        <v>4824.0340000000006</v>
      </c>
      <c r="G137" s="235">
        <v>5372.6729999999989</v>
      </c>
      <c r="H137" s="235">
        <f t="shared" si="2"/>
        <v>10196.706999999999</v>
      </c>
      <c r="I137" s="233">
        <v>1.7891093204237301</v>
      </c>
      <c r="J137" s="233">
        <v>4.6060647614476702</v>
      </c>
      <c r="K137" s="233">
        <v>15.200327963924</v>
      </c>
      <c r="L137" s="233">
        <v>26.215463237819399</v>
      </c>
      <c r="M137" s="233">
        <v>6.1688316326020498</v>
      </c>
      <c r="N137" s="233">
        <v>10.5942632024763</v>
      </c>
      <c r="O137" s="233">
        <v>84.799672036076004</v>
      </c>
      <c r="P137" s="233">
        <v>11.0151352738954</v>
      </c>
      <c r="Q137" s="233">
        <v>46.138924718280997</v>
      </c>
      <c r="R137" s="233">
        <v>60.191195295048203</v>
      </c>
      <c r="S137" s="233">
        <v>66.3834325163008</v>
      </c>
      <c r="T137" s="233">
        <v>35.123789444385601</v>
      </c>
      <c r="U137" s="233">
        <v>55.368297242405397</v>
      </c>
      <c r="V137" s="233">
        <v>60.984250916072703</v>
      </c>
      <c r="W137" s="233">
        <v>38.660747317795</v>
      </c>
      <c r="X137" s="233">
        <v>18.416239519775299</v>
      </c>
      <c r="Y137" s="233">
        <v>1.49277039981913</v>
      </c>
      <c r="Z137" s="233">
        <v>3.90986746100024</v>
      </c>
      <c r="AA137" s="233">
        <v>13.0218135880368</v>
      </c>
      <c r="AB137" s="233">
        <v>23.0215493321667</v>
      </c>
      <c r="AC137" s="233">
        <v>5.31178155435303</v>
      </c>
      <c r="AD137" s="233">
        <v>9.1119461270365996</v>
      </c>
      <c r="AE137" s="233">
        <v>86.978186411963193</v>
      </c>
      <c r="AF137" s="233">
        <v>9.9997357441298504</v>
      </c>
      <c r="AG137" s="233">
        <v>43.697112123765699</v>
      </c>
      <c r="AH137" s="233">
        <v>57.703388934725901</v>
      </c>
      <c r="AI137" s="233">
        <v>64.050668126925004</v>
      </c>
      <c r="AJ137" s="233">
        <v>33.697376379635898</v>
      </c>
      <c r="AK137" s="233">
        <v>54.050932382795203</v>
      </c>
      <c r="AL137" s="233">
        <v>43.281074288197502</v>
      </c>
      <c r="AM137" s="236">
        <v>22.927518285038101</v>
      </c>
    </row>
    <row r="138" spans="1:39">
      <c r="A138" s="236" t="s">
        <v>523</v>
      </c>
      <c r="B138" s="237">
        <v>634</v>
      </c>
      <c r="C138" s="236" t="s">
        <v>524</v>
      </c>
      <c r="D138" s="236" t="s">
        <v>525</v>
      </c>
      <c r="E138" s="236" t="s">
        <v>526</v>
      </c>
      <c r="F138" s="238">
        <v>2165.1350000000002</v>
      </c>
      <c r="G138" s="238">
        <v>715.92499999999984</v>
      </c>
      <c r="H138" s="235">
        <f t="shared" si="2"/>
        <v>2881.06</v>
      </c>
      <c r="I138" s="236">
        <v>1.7691484795090799</v>
      </c>
      <c r="J138" s="236">
        <v>4.1573080071120696</v>
      </c>
      <c r="K138" s="236">
        <v>11.2472663065469</v>
      </c>
      <c r="L138" s="236">
        <v>26.471883373908899</v>
      </c>
      <c r="M138" s="236">
        <v>4.22640863351356</v>
      </c>
      <c r="N138" s="236">
        <v>7.0899582994348203</v>
      </c>
      <c r="O138" s="236">
        <v>88.752733693453095</v>
      </c>
      <c r="P138" s="236">
        <v>15.224617067362001</v>
      </c>
      <c r="Q138" s="236">
        <v>80.254834734335205</v>
      </c>
      <c r="R138" s="236">
        <v>86.576864592949903</v>
      </c>
      <c r="S138" s="236">
        <v>87.667816906743099</v>
      </c>
      <c r="T138" s="236">
        <v>65.030217666973201</v>
      </c>
      <c r="U138" s="236">
        <v>72.443199839381094</v>
      </c>
      <c r="V138" s="236">
        <v>72.837664645175707</v>
      </c>
      <c r="W138" s="236">
        <v>8.4978989591179204</v>
      </c>
      <c r="X138" s="236">
        <v>1.08491678671002</v>
      </c>
      <c r="Y138" s="236">
        <v>4.4366257054849596</v>
      </c>
      <c r="Z138" s="236">
        <v>10.6071258068524</v>
      </c>
      <c r="AA138" s="236">
        <v>26.868595046727101</v>
      </c>
      <c r="AB138" s="236">
        <v>39.8567121621357</v>
      </c>
      <c r="AC138" s="236">
        <v>10.5083742618159</v>
      </c>
      <c r="AD138" s="236">
        <v>16.2614692398747</v>
      </c>
      <c r="AE138" s="236">
        <v>73.131404953272906</v>
      </c>
      <c r="AF138" s="236">
        <v>12.9881171154085</v>
      </c>
      <c r="AG138" s="236">
        <v>65.720788181205805</v>
      </c>
      <c r="AH138" s="236">
        <v>70.639236408582903</v>
      </c>
      <c r="AI138" s="236">
        <v>71.687735842886994</v>
      </c>
      <c r="AJ138" s="236">
        <v>52.732671065797298</v>
      </c>
      <c r="AK138" s="236">
        <v>58.699618727478502</v>
      </c>
      <c r="AL138" s="236">
        <v>7.4106167720670504</v>
      </c>
      <c r="AM138" s="233">
        <v>1.4436691103859201</v>
      </c>
    </row>
    <row r="139" spans="1:39">
      <c r="A139" s="233" t="s">
        <v>527</v>
      </c>
      <c r="B139" s="234">
        <v>410</v>
      </c>
      <c r="C139" s="233" t="s">
        <v>528</v>
      </c>
      <c r="D139" s="233" t="s">
        <v>529</v>
      </c>
      <c r="E139" s="233" t="s">
        <v>530</v>
      </c>
      <c r="F139" s="235">
        <v>25665.853999999996</v>
      </c>
      <c r="G139" s="235">
        <v>25603.328999999994</v>
      </c>
      <c r="H139" s="235">
        <f t="shared" si="2"/>
        <v>51269.18299999999</v>
      </c>
      <c r="I139" s="233">
        <v>1.9008500410561699</v>
      </c>
      <c r="J139" s="233">
        <v>4.7276922434333697</v>
      </c>
      <c r="K139" s="233">
        <v>14.5571831325814</v>
      </c>
      <c r="L139" s="233">
        <v>28.829929696417999</v>
      </c>
      <c r="M139" s="233">
        <v>5.6412019222382899</v>
      </c>
      <c r="N139" s="233">
        <v>9.8294908891480297</v>
      </c>
      <c r="O139" s="233">
        <v>85.4428168674186</v>
      </c>
      <c r="P139" s="233">
        <v>14.2727465638366</v>
      </c>
      <c r="Q139" s="233">
        <v>53.547649556543803</v>
      </c>
      <c r="R139" s="233">
        <v>69.160978735450897</v>
      </c>
      <c r="S139" s="233">
        <v>74.4479582099288</v>
      </c>
      <c r="T139" s="233">
        <v>39.274902992707197</v>
      </c>
      <c r="U139" s="233">
        <v>60.175211646092201</v>
      </c>
      <c r="V139" s="233">
        <v>64.190154137854904</v>
      </c>
      <c r="W139" s="233">
        <v>31.8951673108748</v>
      </c>
      <c r="X139" s="233">
        <v>10.9948586574898</v>
      </c>
      <c r="Y139" s="233">
        <v>1.7421291795757401</v>
      </c>
      <c r="Z139" s="233">
        <v>4.3702270470663098</v>
      </c>
      <c r="AA139" s="233">
        <v>13.4349860945812</v>
      </c>
      <c r="AB139" s="233">
        <v>26.153824443756601</v>
      </c>
      <c r="AC139" s="233">
        <v>5.2407955582664902</v>
      </c>
      <c r="AD139" s="233">
        <v>9.0647590475148796</v>
      </c>
      <c r="AE139" s="233">
        <v>86.565013905418795</v>
      </c>
      <c r="AF139" s="233">
        <v>12.7188383491754</v>
      </c>
      <c r="AG139" s="233">
        <v>50.107933656386599</v>
      </c>
      <c r="AH139" s="233">
        <v>65.792578830346301</v>
      </c>
      <c r="AI139" s="233">
        <v>71.331602605396796</v>
      </c>
      <c r="AJ139" s="233">
        <v>37.3890953072112</v>
      </c>
      <c r="AK139" s="233">
        <v>58.612764256221503</v>
      </c>
      <c r="AL139" s="233">
        <v>36.457080249032202</v>
      </c>
      <c r="AM139" s="236">
        <v>15.233411300022</v>
      </c>
    </row>
    <row r="140" spans="1:39">
      <c r="A140" s="236" t="s">
        <v>531</v>
      </c>
      <c r="B140" s="237">
        <v>498</v>
      </c>
      <c r="C140" s="236" t="s">
        <v>532</v>
      </c>
      <c r="D140" s="236" t="s">
        <v>533</v>
      </c>
      <c r="E140" s="236" t="s">
        <v>534</v>
      </c>
      <c r="F140" s="238">
        <v>1931.9529999999997</v>
      </c>
      <c r="G140" s="238">
        <v>2102.0099999999998</v>
      </c>
      <c r="H140" s="235">
        <f t="shared" si="2"/>
        <v>4033.9629999999997</v>
      </c>
      <c r="I140" s="236">
        <v>2.3094711837611999</v>
      </c>
      <c r="J140" s="236">
        <v>5.8854958358450196</v>
      </c>
      <c r="K140" s="236">
        <v>16.869723226469802</v>
      </c>
      <c r="L140" s="236">
        <v>31.831128931073199</v>
      </c>
      <c r="M140" s="236">
        <v>6.7362217828585802</v>
      </c>
      <c r="N140" s="236">
        <v>10.984227390624801</v>
      </c>
      <c r="O140" s="236">
        <v>83.130276773530198</v>
      </c>
      <c r="P140" s="236">
        <v>14.9614057046035</v>
      </c>
      <c r="Q140" s="236">
        <v>55.693329631635002</v>
      </c>
      <c r="R140" s="236">
        <v>69.4262725482767</v>
      </c>
      <c r="S140" s="236">
        <v>75.359880236765505</v>
      </c>
      <c r="T140" s="236">
        <v>40.731923927031502</v>
      </c>
      <c r="U140" s="236">
        <v>60.398474532162098</v>
      </c>
      <c r="V140" s="236">
        <v>63.044626427569703</v>
      </c>
      <c r="W140" s="236">
        <v>27.4369471418952</v>
      </c>
      <c r="X140" s="236">
        <v>7.7703965367646601</v>
      </c>
      <c r="Y140" s="236">
        <v>1.9711902956785401</v>
      </c>
      <c r="Z140" s="236">
        <v>5.1025584963450701</v>
      </c>
      <c r="AA140" s="236">
        <v>14.6816100798944</v>
      </c>
      <c r="AB140" s="236">
        <v>28.027134391336102</v>
      </c>
      <c r="AC140" s="236">
        <v>5.9029227112811</v>
      </c>
      <c r="AD140" s="236">
        <v>9.5790515835493704</v>
      </c>
      <c r="AE140" s="236">
        <v>85.318389920105602</v>
      </c>
      <c r="AF140" s="236">
        <v>13.345524311441601</v>
      </c>
      <c r="AG140" s="236">
        <v>51.125157238062002</v>
      </c>
      <c r="AH140" s="236">
        <v>66.103591132767207</v>
      </c>
      <c r="AI140" s="236">
        <v>73.335642804341404</v>
      </c>
      <c r="AJ140" s="236">
        <v>37.779632926620302</v>
      </c>
      <c r="AK140" s="236">
        <v>59.990118492899803</v>
      </c>
      <c r="AL140" s="236">
        <v>34.1932326820436</v>
      </c>
      <c r="AM140" s="233">
        <v>11.9827471157641</v>
      </c>
    </row>
    <row r="141" spans="1:39">
      <c r="A141" s="233" t="s">
        <v>535</v>
      </c>
      <c r="B141" s="234">
        <v>642</v>
      </c>
      <c r="C141" s="233" t="s">
        <v>536</v>
      </c>
      <c r="D141" s="233" t="s">
        <v>537</v>
      </c>
      <c r="E141" s="233" t="s">
        <v>538</v>
      </c>
      <c r="F141" s="235">
        <v>9353.9120000000003</v>
      </c>
      <c r="G141" s="235">
        <v>9883.7699999999986</v>
      </c>
      <c r="H141" s="235">
        <f t="shared" si="2"/>
        <v>19237.682000000001</v>
      </c>
      <c r="I141" s="233">
        <v>1.8583898786337101</v>
      </c>
      <c r="J141" s="233">
        <v>5.0240943343741096</v>
      </c>
      <c r="K141" s="233">
        <v>16.447770426274399</v>
      </c>
      <c r="L141" s="233">
        <v>27.577921309087898</v>
      </c>
      <c r="M141" s="233">
        <v>6.8548151159398598</v>
      </c>
      <c r="N141" s="233">
        <v>11.423676091900299</v>
      </c>
      <c r="O141" s="233">
        <v>83.552229573725597</v>
      </c>
      <c r="P141" s="233">
        <v>11.130150882813499</v>
      </c>
      <c r="Q141" s="233">
        <v>49.646708483154697</v>
      </c>
      <c r="R141" s="233">
        <v>62.359849145755</v>
      </c>
      <c r="S141" s="233">
        <v>69.153813409978696</v>
      </c>
      <c r="T141" s="233">
        <v>38.516557600341201</v>
      </c>
      <c r="U141" s="233">
        <v>58.0236625271652</v>
      </c>
      <c r="V141" s="233">
        <v>63.067500852028303</v>
      </c>
      <c r="W141" s="233">
        <v>33.9055210905709</v>
      </c>
      <c r="X141" s="233">
        <v>14.3984161637469</v>
      </c>
      <c r="Y141" s="233">
        <v>1.6517819912175999</v>
      </c>
      <c r="Z141" s="233">
        <v>4.4672216574636998</v>
      </c>
      <c r="AA141" s="233">
        <v>14.6495543344578</v>
      </c>
      <c r="AB141" s="233">
        <v>24.5073455219785</v>
      </c>
      <c r="AC141" s="233">
        <v>6.1068967104216201</v>
      </c>
      <c r="AD141" s="233">
        <v>10.1823326769941</v>
      </c>
      <c r="AE141" s="233">
        <v>85.350445665542196</v>
      </c>
      <c r="AF141" s="233">
        <v>9.8577911875206699</v>
      </c>
      <c r="AG141" s="233">
        <v>45.138025557170103</v>
      </c>
      <c r="AH141" s="233">
        <v>57.916779610086998</v>
      </c>
      <c r="AI141" s="233">
        <v>65.297469361643294</v>
      </c>
      <c r="AJ141" s="233">
        <v>35.280234369649499</v>
      </c>
      <c r="AK141" s="233">
        <v>55.439678174122598</v>
      </c>
      <c r="AL141" s="233">
        <v>40.212420108372001</v>
      </c>
      <c r="AM141" s="236">
        <v>20.052976303898902</v>
      </c>
    </row>
    <row r="142" spans="1:39">
      <c r="A142" s="236" t="s">
        <v>539</v>
      </c>
      <c r="B142" s="237">
        <v>643</v>
      </c>
      <c r="C142" s="236" t="s">
        <v>540</v>
      </c>
      <c r="D142" s="236" t="s">
        <v>541</v>
      </c>
      <c r="E142" s="236" t="s">
        <v>542</v>
      </c>
      <c r="F142" s="238">
        <v>67640.298999999999</v>
      </c>
      <c r="G142" s="238">
        <v>78294.160999999978</v>
      </c>
      <c r="H142" s="235">
        <f t="shared" si="2"/>
        <v>145934.45999999996</v>
      </c>
      <c r="I142" s="236">
        <v>2.950803692939</v>
      </c>
      <c r="J142" s="236">
        <v>7.0653167266387698</v>
      </c>
      <c r="K142" s="236">
        <v>18.485763627169899</v>
      </c>
      <c r="L142" s="236">
        <v>30.234718488809701</v>
      </c>
      <c r="M142" s="236">
        <v>7.2166055581828603</v>
      </c>
      <c r="N142" s="236">
        <v>11.4204469005311</v>
      </c>
      <c r="O142" s="236">
        <v>81.514236372830098</v>
      </c>
      <c r="P142" s="236">
        <v>11.748954861639801</v>
      </c>
      <c r="Q142" s="236">
        <v>51.474656093439201</v>
      </c>
      <c r="R142" s="236">
        <v>66.219841060972797</v>
      </c>
      <c r="S142" s="236">
        <v>72.157408147797497</v>
      </c>
      <c r="T142" s="236">
        <v>39.725701231799398</v>
      </c>
      <c r="U142" s="236">
        <v>60.408453286157702</v>
      </c>
      <c r="V142" s="236">
        <v>63.861007720614602</v>
      </c>
      <c r="W142" s="236">
        <v>30.039580279390901</v>
      </c>
      <c r="X142" s="236">
        <v>9.3568282250326096</v>
      </c>
      <c r="Y142" s="236">
        <v>2.4125136528225899</v>
      </c>
      <c r="Z142" s="236">
        <v>5.8023817388624899</v>
      </c>
      <c r="AA142" s="236">
        <v>15.2476073964219</v>
      </c>
      <c r="AB142" s="236">
        <v>24.926132496727</v>
      </c>
      <c r="AC142" s="236">
        <v>5.9741745624896696</v>
      </c>
      <c r="AD142" s="236">
        <v>9.4452256575593907</v>
      </c>
      <c r="AE142" s="236">
        <v>84.752392603578102</v>
      </c>
      <c r="AF142" s="236">
        <v>9.67852510030513</v>
      </c>
      <c r="AG142" s="236">
        <v>45.091974234370198</v>
      </c>
      <c r="AH142" s="236">
        <v>60.619267830778</v>
      </c>
      <c r="AI142" s="236">
        <v>67.908266311253996</v>
      </c>
      <c r="AJ142" s="236">
        <v>35.413449134064997</v>
      </c>
      <c r="AK142" s="236">
        <v>58.229741210948902</v>
      </c>
      <c r="AL142" s="236">
        <v>39.660418369207903</v>
      </c>
      <c r="AM142" s="233">
        <v>16.844126292324098</v>
      </c>
    </row>
    <row r="143" spans="1:39">
      <c r="A143" s="233" t="s">
        <v>543</v>
      </c>
      <c r="B143" s="234">
        <v>646</v>
      </c>
      <c r="C143" s="233" t="s">
        <v>544</v>
      </c>
      <c r="D143" s="233" t="s">
        <v>545</v>
      </c>
      <c r="E143" s="233" t="s">
        <v>546</v>
      </c>
      <c r="F143" s="235">
        <v>6367.4309999999996</v>
      </c>
      <c r="G143" s="235">
        <v>6584.7779999999993</v>
      </c>
      <c r="H143" s="235">
        <f t="shared" si="2"/>
        <v>12952.208999999999</v>
      </c>
      <c r="I143" s="233">
        <v>6.01588325419646</v>
      </c>
      <c r="J143" s="233">
        <v>15.2977408668231</v>
      </c>
      <c r="K143" s="233">
        <v>42.850772884070402</v>
      </c>
      <c r="L143" s="233">
        <v>62.713690241288603</v>
      </c>
      <c r="M143" s="233">
        <v>17.506690270427601</v>
      </c>
      <c r="N143" s="233">
        <v>27.5530320172474</v>
      </c>
      <c r="O143" s="233">
        <v>57.149227115929499</v>
      </c>
      <c r="P143" s="233">
        <v>19.862917357218201</v>
      </c>
      <c r="Q143" s="233">
        <v>48.6789256571466</v>
      </c>
      <c r="R143" s="233">
        <v>53.361665281066898</v>
      </c>
      <c r="S143" s="233">
        <v>54.836474645682799</v>
      </c>
      <c r="T143" s="233">
        <v>28.816008299928399</v>
      </c>
      <c r="U143" s="233">
        <v>34.973557288464598</v>
      </c>
      <c r="V143" s="233">
        <v>35.917569824694901</v>
      </c>
      <c r="W143" s="233">
        <v>8.4703014587829308</v>
      </c>
      <c r="X143" s="233">
        <v>2.3127524702467799</v>
      </c>
      <c r="Y143" s="233">
        <v>5.4686699393398497</v>
      </c>
      <c r="Z143" s="233">
        <v>13.956678402009899</v>
      </c>
      <c r="AA143" s="233">
        <v>39.399100841308403</v>
      </c>
      <c r="AB143" s="233">
        <v>58.166922860779202</v>
      </c>
      <c r="AC143" s="233">
        <v>16.1318325316937</v>
      </c>
      <c r="AD143" s="233">
        <v>25.4424224392985</v>
      </c>
      <c r="AE143" s="233">
        <v>60.600899158691597</v>
      </c>
      <c r="AF143" s="233">
        <v>18.767822019470799</v>
      </c>
      <c r="AG143" s="233">
        <v>49.292805077601997</v>
      </c>
      <c r="AH143" s="233">
        <v>55.367332771359202</v>
      </c>
      <c r="AI143" s="233">
        <v>57.3726219401332</v>
      </c>
      <c r="AJ143" s="233">
        <v>30.524983058131301</v>
      </c>
      <c r="AK143" s="233">
        <v>38.604799920662501</v>
      </c>
      <c r="AL143" s="233">
        <v>11.3080940810896</v>
      </c>
      <c r="AM143" s="236">
        <v>3.2282772185583699</v>
      </c>
    </row>
    <row r="144" spans="1:39">
      <c r="A144" s="233" t="s">
        <v>547</v>
      </c>
      <c r="B144" s="234">
        <v>662</v>
      </c>
      <c r="C144" s="233" t="s">
        <v>548</v>
      </c>
      <c r="D144" s="233" t="s">
        <v>75</v>
      </c>
      <c r="E144" s="233" t="s">
        <v>76</v>
      </c>
      <c r="F144" s="235">
        <v>90.422000000000025</v>
      </c>
      <c r="G144" s="235">
        <v>93.206999999999994</v>
      </c>
      <c r="H144" s="235">
        <f t="shared" si="2"/>
        <v>183.62900000000002</v>
      </c>
      <c r="I144" s="233">
        <v>3.0850934893509199</v>
      </c>
      <c r="J144" s="233">
        <v>7.6851882457938103</v>
      </c>
      <c r="K144" s="233">
        <v>23.816921737789102</v>
      </c>
      <c r="L144" s="233">
        <v>41.712667614231101</v>
      </c>
      <c r="M144" s="233">
        <v>9.4558115448605697</v>
      </c>
      <c r="N144" s="233">
        <v>16.131733491995298</v>
      </c>
      <c r="O144" s="233">
        <v>76.183078262210898</v>
      </c>
      <c r="P144" s="233">
        <v>17.895745876442</v>
      </c>
      <c r="Q144" s="233">
        <v>53.519761125618402</v>
      </c>
      <c r="R144" s="233">
        <v>64.409039323923807</v>
      </c>
      <c r="S144" s="233">
        <v>67.995460505294304</v>
      </c>
      <c r="T144" s="233">
        <v>35.624015249176402</v>
      </c>
      <c r="U144" s="233">
        <v>50.099714628852297</v>
      </c>
      <c r="V144" s="233">
        <v>52.844346015271199</v>
      </c>
      <c r="W144" s="233">
        <v>22.6633171365925</v>
      </c>
      <c r="X144" s="233">
        <v>8.1876177569166693</v>
      </c>
      <c r="Y144" s="233">
        <v>2.9032258064516099</v>
      </c>
      <c r="Z144" s="233">
        <v>7.2113752122241097</v>
      </c>
      <c r="AA144" s="233">
        <v>22.459677419354801</v>
      </c>
      <c r="AB144" s="233">
        <v>39.603140916808101</v>
      </c>
      <c r="AC144" s="233">
        <v>8.8900679117147696</v>
      </c>
      <c r="AD144" s="233">
        <v>15.248302207130701</v>
      </c>
      <c r="AE144" s="233">
        <v>77.540322580645096</v>
      </c>
      <c r="AF144" s="233">
        <v>17.1434634974533</v>
      </c>
      <c r="AG144" s="233">
        <v>53.2205008488964</v>
      </c>
      <c r="AH144" s="233">
        <v>64.260398981324201</v>
      </c>
      <c r="AI144" s="233">
        <v>67.763157894736807</v>
      </c>
      <c r="AJ144" s="233">
        <v>36.077037351443103</v>
      </c>
      <c r="AK144" s="233">
        <v>50.619694397283503</v>
      </c>
      <c r="AL144" s="233">
        <v>24.3198217317487</v>
      </c>
      <c r="AM144" s="236">
        <v>9.7771646859083106</v>
      </c>
    </row>
    <row r="145" spans="1:39">
      <c r="A145" s="236" t="s">
        <v>549</v>
      </c>
      <c r="B145" s="237">
        <v>670</v>
      </c>
      <c r="C145" s="236" t="s">
        <v>550</v>
      </c>
      <c r="D145" s="236" t="s">
        <v>75</v>
      </c>
      <c r="E145" s="236" t="s">
        <v>76</v>
      </c>
      <c r="F145" s="238">
        <v>56.218000000000004</v>
      </c>
      <c r="G145" s="238">
        <v>54.728999999999999</v>
      </c>
      <c r="H145" s="235">
        <f t="shared" si="2"/>
        <v>110.947</v>
      </c>
      <c r="I145" s="236">
        <v>3.0036935110081102</v>
      </c>
      <c r="J145" s="236">
        <v>7.79620509849362</v>
      </c>
      <c r="K145" s="236">
        <v>24.574522016222499</v>
      </c>
      <c r="L145" s="236">
        <v>42.2852694090382</v>
      </c>
      <c r="M145" s="236">
        <v>9.9905851680185407</v>
      </c>
      <c r="N145" s="236">
        <v>16.778316917728802</v>
      </c>
      <c r="O145" s="236">
        <v>75.425477983777498</v>
      </c>
      <c r="P145" s="236">
        <v>17.710747392815801</v>
      </c>
      <c r="Q145" s="236">
        <v>53.438224217844699</v>
      </c>
      <c r="R145" s="236">
        <v>65.195900926998803</v>
      </c>
      <c r="S145" s="236">
        <v>68.7536210892236</v>
      </c>
      <c r="T145" s="236">
        <v>35.727476825029001</v>
      </c>
      <c r="U145" s="236">
        <v>51.042873696407902</v>
      </c>
      <c r="V145" s="236">
        <v>53.469003476245597</v>
      </c>
      <c r="W145" s="236">
        <v>21.987253765932799</v>
      </c>
      <c r="X145" s="236">
        <v>6.6718568945538799</v>
      </c>
      <c r="Y145" s="236">
        <v>2.98174442190669</v>
      </c>
      <c r="Z145" s="236">
        <v>7.7558546929743697</v>
      </c>
      <c r="AA145" s="236">
        <v>24.482758620689701</v>
      </c>
      <c r="AB145" s="236">
        <v>42.030241563710099</v>
      </c>
      <c r="AC145" s="236">
        <v>9.9704960354047607</v>
      </c>
      <c r="AD145" s="236">
        <v>16.726903927715298</v>
      </c>
      <c r="AE145" s="236">
        <v>75.517241379310306</v>
      </c>
      <c r="AF145" s="236">
        <v>17.547482943020501</v>
      </c>
      <c r="AG145" s="236">
        <v>52.590816891019699</v>
      </c>
      <c r="AH145" s="236">
        <v>63.8521113774664</v>
      </c>
      <c r="AI145" s="236">
        <v>67.512446985063605</v>
      </c>
      <c r="AJ145" s="236">
        <v>35.043333947999301</v>
      </c>
      <c r="AK145" s="236">
        <v>49.9649640420431</v>
      </c>
      <c r="AL145" s="236">
        <v>22.9264244882906</v>
      </c>
      <c r="AM145" s="233">
        <v>8.0047943942467299</v>
      </c>
    </row>
    <row r="146" spans="1:39">
      <c r="A146" s="233" t="s">
        <v>551</v>
      </c>
      <c r="B146" s="234">
        <v>882</v>
      </c>
      <c r="C146" s="233" t="s">
        <v>552</v>
      </c>
      <c r="D146" s="233" t="s">
        <v>553</v>
      </c>
      <c r="E146" s="233" t="s">
        <v>554</v>
      </c>
      <c r="F146" s="235">
        <v>102.70299999999999</v>
      </c>
      <c r="G146" s="235">
        <v>95.706999999999994</v>
      </c>
      <c r="H146" s="235">
        <f t="shared" si="2"/>
        <v>198.40999999999997</v>
      </c>
      <c r="I146" s="233">
        <v>4.7398739512665102</v>
      </c>
      <c r="J146" s="233">
        <v>12.5868090401831</v>
      </c>
      <c r="K146" s="233">
        <v>37.424230259724602</v>
      </c>
      <c r="L146" s="233">
        <v>57.3009915298463</v>
      </c>
      <c r="M146" s="233">
        <v>15.5925093332263</v>
      </c>
      <c r="N146" s="233">
        <v>24.8374212195416</v>
      </c>
      <c r="O146" s="233">
        <v>62.575769740275398</v>
      </c>
      <c r="P146" s="233">
        <v>19.876761270121602</v>
      </c>
      <c r="Q146" s="233">
        <v>47.9276223355144</v>
      </c>
      <c r="R146" s="233">
        <v>55.651117980008799</v>
      </c>
      <c r="S146" s="233">
        <v>58.2282927220906</v>
      </c>
      <c r="T146" s="233">
        <v>28.050861065392802</v>
      </c>
      <c r="U146" s="233">
        <v>38.351531451969002</v>
      </c>
      <c r="V146" s="233">
        <v>39.983340692866598</v>
      </c>
      <c r="W146" s="233">
        <v>14.6481474047609</v>
      </c>
      <c r="X146" s="233">
        <v>4.3474770181847404</v>
      </c>
      <c r="Y146" s="233">
        <v>4.7315780475294904</v>
      </c>
      <c r="Z146" s="233">
        <v>12.4316122414088</v>
      </c>
      <c r="AA146" s="233">
        <v>37.148444178492099</v>
      </c>
      <c r="AB146" s="233">
        <v>56.129252863737399</v>
      </c>
      <c r="AC146" s="233">
        <v>15.433193708326201</v>
      </c>
      <c r="AD146" s="233">
        <v>24.716831937083299</v>
      </c>
      <c r="AE146" s="233">
        <v>62.851555821508001</v>
      </c>
      <c r="AF146" s="233">
        <v>18.9808086852453</v>
      </c>
      <c r="AG146" s="233">
        <v>46.067703881005301</v>
      </c>
      <c r="AH146" s="233">
        <v>53.915199179346899</v>
      </c>
      <c r="AI146" s="233">
        <v>56.674217815011097</v>
      </c>
      <c r="AJ146" s="233">
        <v>27.08689519576</v>
      </c>
      <c r="AK146" s="233">
        <v>37.693409129765797</v>
      </c>
      <c r="AL146" s="233">
        <v>16.7838519405027</v>
      </c>
      <c r="AM146" s="236">
        <v>6.1773380064968402</v>
      </c>
    </row>
    <row r="147" spans="1:39">
      <c r="A147" s="233" t="s">
        <v>555</v>
      </c>
      <c r="B147" s="234">
        <v>678</v>
      </c>
      <c r="C147" s="233" t="s">
        <v>556</v>
      </c>
      <c r="D147" s="233" t="s">
        <v>557</v>
      </c>
      <c r="E147" s="233" t="s">
        <v>558</v>
      </c>
      <c r="F147" s="235">
        <v>109.67500000000003</v>
      </c>
      <c r="G147" s="235">
        <v>109.486</v>
      </c>
      <c r="H147" s="235">
        <f t="shared" si="2"/>
        <v>219.16100000000003</v>
      </c>
      <c r="I147" s="233">
        <v>6.5112548676115196</v>
      </c>
      <c r="J147" s="233">
        <v>15.751538112474799</v>
      </c>
      <c r="K147" s="233">
        <v>43.154739919163397</v>
      </c>
      <c r="L147" s="233">
        <v>62.813030952205096</v>
      </c>
      <c r="M147" s="233">
        <v>17.1033885963339</v>
      </c>
      <c r="N147" s="233">
        <v>27.4032018066886</v>
      </c>
      <c r="O147" s="233">
        <v>56.845260080836702</v>
      </c>
      <c r="P147" s="233">
        <v>19.658291033041699</v>
      </c>
      <c r="Q147" s="233">
        <v>48.5674183982524</v>
      </c>
      <c r="R147" s="233">
        <v>52.982830126953601</v>
      </c>
      <c r="S147" s="233">
        <v>54.170052448843897</v>
      </c>
      <c r="T147" s="233">
        <v>28.909127365210701</v>
      </c>
      <c r="U147" s="233">
        <v>34.511761415802198</v>
      </c>
      <c r="V147" s="233">
        <v>35.228316043858598</v>
      </c>
      <c r="W147" s="233">
        <v>8.2778416825842402</v>
      </c>
      <c r="X147" s="233">
        <v>2.6752076319927398</v>
      </c>
      <c r="Y147" s="233">
        <v>6.3263064288329698</v>
      </c>
      <c r="Z147" s="233">
        <v>15.326672595072401</v>
      </c>
      <c r="AA147" s="233">
        <v>42.104932782340299</v>
      </c>
      <c r="AB147" s="233">
        <v>61.285766595177101</v>
      </c>
      <c r="AC147" s="233">
        <v>16.707642412512399</v>
      </c>
      <c r="AD147" s="233">
        <v>26.7782601872679</v>
      </c>
      <c r="AE147" s="233">
        <v>57.895067217659701</v>
      </c>
      <c r="AF147" s="233">
        <v>19.180833812836699</v>
      </c>
      <c r="AG147" s="233">
        <v>47.594287806664198</v>
      </c>
      <c r="AH147" s="233">
        <v>52.882774493905899</v>
      </c>
      <c r="AI147" s="233">
        <v>54.402887482345598</v>
      </c>
      <c r="AJ147" s="233">
        <v>28.413453993827499</v>
      </c>
      <c r="AK147" s="233">
        <v>35.222053669508803</v>
      </c>
      <c r="AL147" s="233">
        <v>10.3007794109954</v>
      </c>
      <c r="AM147" s="236">
        <v>3.49217973531412</v>
      </c>
    </row>
    <row r="148" spans="1:39">
      <c r="A148" s="236" t="s">
        <v>559</v>
      </c>
      <c r="B148" s="237">
        <v>682</v>
      </c>
      <c r="C148" s="236" t="s">
        <v>560</v>
      </c>
      <c r="D148" s="236" t="s">
        <v>561</v>
      </c>
      <c r="E148" s="236" t="s">
        <v>562</v>
      </c>
      <c r="F148" s="238">
        <v>20131.307999999997</v>
      </c>
      <c r="G148" s="238">
        <v>14682.559000000001</v>
      </c>
      <c r="H148" s="235">
        <f t="shared" si="2"/>
        <v>34813.866999999998</v>
      </c>
      <c r="I148" s="236">
        <v>3.5178805006304699</v>
      </c>
      <c r="J148" s="236">
        <v>9.0135911203857795</v>
      </c>
      <c r="K148" s="236">
        <v>25.796726940201001</v>
      </c>
      <c r="L148" s="236">
        <v>39.684496053187097</v>
      </c>
      <c r="M148" s="236">
        <v>10.5596854884332</v>
      </c>
      <c r="N148" s="236">
        <v>16.7831358198152</v>
      </c>
      <c r="O148" s="236">
        <v>74.203273059799002</v>
      </c>
      <c r="P148" s="236">
        <v>13.887769112986099</v>
      </c>
      <c r="Q148" s="236">
        <v>60.4910598898514</v>
      </c>
      <c r="R148" s="236">
        <v>69.514574810032101</v>
      </c>
      <c r="S148" s="236">
        <v>71.835975848723194</v>
      </c>
      <c r="T148" s="236">
        <v>46.6032907768653</v>
      </c>
      <c r="U148" s="236">
        <v>57.948206735737102</v>
      </c>
      <c r="V148" s="236">
        <v>58.902618369345902</v>
      </c>
      <c r="W148" s="236">
        <v>13.712213169947599</v>
      </c>
      <c r="X148" s="236">
        <v>2.3672972110758601</v>
      </c>
      <c r="Y148" s="236">
        <v>4.4450194396540397</v>
      </c>
      <c r="Z148" s="236">
        <v>11.337956936945099</v>
      </c>
      <c r="AA148" s="236">
        <v>32.206970255381101</v>
      </c>
      <c r="AB148" s="236">
        <v>50.1046447500092</v>
      </c>
      <c r="AC148" s="236">
        <v>13.1073879441601</v>
      </c>
      <c r="AD148" s="236">
        <v>20.869013318436</v>
      </c>
      <c r="AE148" s="236">
        <v>67.793029744618906</v>
      </c>
      <c r="AF148" s="236">
        <v>17.897674494628099</v>
      </c>
      <c r="AG148" s="236">
        <v>55.882733667326796</v>
      </c>
      <c r="AH148" s="236">
        <v>62.347992938358303</v>
      </c>
      <c r="AI148" s="236">
        <v>64.286485671601</v>
      </c>
      <c r="AJ148" s="236">
        <v>37.985059172698598</v>
      </c>
      <c r="AK148" s="236">
        <v>46.388811176972901</v>
      </c>
      <c r="AL148" s="236">
        <v>11.9102960772922</v>
      </c>
      <c r="AM148" s="233">
        <v>3.5065440730179702</v>
      </c>
    </row>
    <row r="149" spans="1:39">
      <c r="A149" s="233" t="s">
        <v>563</v>
      </c>
      <c r="B149" s="234">
        <v>686</v>
      </c>
      <c r="C149" s="233" t="s">
        <v>564</v>
      </c>
      <c r="D149" s="233" t="s">
        <v>123</v>
      </c>
      <c r="E149" s="233" t="s">
        <v>124</v>
      </c>
      <c r="F149" s="235">
        <v>8170.7849999999989</v>
      </c>
      <c r="G149" s="235">
        <v>8573.1450000000004</v>
      </c>
      <c r="H149" s="235">
        <f t="shared" si="2"/>
        <v>16743.93</v>
      </c>
      <c r="I149" s="233">
        <v>7.5132728829347899</v>
      </c>
      <c r="J149" s="233">
        <v>17.7479309917778</v>
      </c>
      <c r="K149" s="233">
        <v>45.108013805952098</v>
      </c>
      <c r="L149" s="233">
        <v>65.169410985531698</v>
      </c>
      <c r="M149" s="233">
        <v>17.471704259707</v>
      </c>
      <c r="N149" s="233">
        <v>27.360082814174302</v>
      </c>
      <c r="O149" s="233">
        <v>54.891986194047902</v>
      </c>
      <c r="P149" s="233">
        <v>20.0613971795797</v>
      </c>
      <c r="Q149" s="233">
        <v>46.777072104330799</v>
      </c>
      <c r="R149" s="233">
        <v>50.925386475120703</v>
      </c>
      <c r="S149" s="233">
        <v>52.337077381176698</v>
      </c>
      <c r="T149" s="233">
        <v>26.715674924751099</v>
      </c>
      <c r="U149" s="233">
        <v>32.275680201597098</v>
      </c>
      <c r="V149" s="233">
        <v>33.288417323131398</v>
      </c>
      <c r="W149" s="233">
        <v>8.1149140897171499</v>
      </c>
      <c r="X149" s="233">
        <v>2.5549088128711999</v>
      </c>
      <c r="Y149" s="233">
        <v>7.0522750650501802</v>
      </c>
      <c r="Z149" s="233">
        <v>16.659431293148501</v>
      </c>
      <c r="AA149" s="233">
        <v>42.463703769307102</v>
      </c>
      <c r="AB149" s="233">
        <v>61.683911875358199</v>
      </c>
      <c r="AC149" s="233">
        <v>16.4437855630079</v>
      </c>
      <c r="AD149" s="233">
        <v>25.804272476158602</v>
      </c>
      <c r="AE149" s="233">
        <v>57.536296230692898</v>
      </c>
      <c r="AF149" s="233">
        <v>19.2202081060511</v>
      </c>
      <c r="AG149" s="233">
        <v>47.437697330582203</v>
      </c>
      <c r="AH149" s="233">
        <v>52.4807634944478</v>
      </c>
      <c r="AI149" s="233">
        <v>54.237524304946398</v>
      </c>
      <c r="AJ149" s="233">
        <v>28.217489224531199</v>
      </c>
      <c r="AK149" s="233">
        <v>35.017316198895301</v>
      </c>
      <c r="AL149" s="233">
        <v>10.0985989001107</v>
      </c>
      <c r="AM149" s="236">
        <v>3.2987719257464998</v>
      </c>
    </row>
    <row r="150" spans="1:39">
      <c r="A150" s="236" t="s">
        <v>565</v>
      </c>
      <c r="B150" s="237">
        <v>688</v>
      </c>
      <c r="C150" s="236" t="s">
        <v>566</v>
      </c>
      <c r="D150" s="236" t="s">
        <v>567</v>
      </c>
      <c r="E150" s="236" t="s">
        <v>568</v>
      </c>
      <c r="F150" s="238">
        <v>4279.6509999999989</v>
      </c>
      <c r="G150" s="238">
        <v>4457.7189999999991</v>
      </c>
      <c r="H150" s="235">
        <f t="shared" si="2"/>
        <v>8737.369999999999</v>
      </c>
      <c r="I150" s="236">
        <v>2.16334806987701</v>
      </c>
      <c r="J150" s="236">
        <v>5.3427050867814003</v>
      </c>
      <c r="K150" s="236">
        <v>17.096744247851699</v>
      </c>
      <c r="L150" s="236">
        <v>30.442672746175798</v>
      </c>
      <c r="M150" s="236">
        <v>6.7463614503685196</v>
      </c>
      <c r="N150" s="236">
        <v>11.754039161070301</v>
      </c>
      <c r="O150" s="236">
        <v>82.903255752148297</v>
      </c>
      <c r="P150" s="236">
        <v>13.345928498324101</v>
      </c>
      <c r="Q150" s="236">
        <v>48.404510831556401</v>
      </c>
      <c r="R150" s="236">
        <v>60.987668668296301</v>
      </c>
      <c r="S150" s="236">
        <v>68.150985485619501</v>
      </c>
      <c r="T150" s="236">
        <v>35.058582333232302</v>
      </c>
      <c r="U150" s="236">
        <v>54.805056987295501</v>
      </c>
      <c r="V150" s="236">
        <v>60.658313051969301</v>
      </c>
      <c r="W150" s="236">
        <v>34.498744920591903</v>
      </c>
      <c r="X150" s="236">
        <v>14.752270266528701</v>
      </c>
      <c r="Y150" s="236">
        <v>1.9669289003135499</v>
      </c>
      <c r="Z150" s="236">
        <v>4.8566336402926504</v>
      </c>
      <c r="AA150" s="236">
        <v>15.5410952374227</v>
      </c>
      <c r="AB150" s="236">
        <v>27.492095032626199</v>
      </c>
      <c r="AC150" s="236">
        <v>6.14027499223186</v>
      </c>
      <c r="AD150" s="236">
        <v>10.684461597129999</v>
      </c>
      <c r="AE150" s="236">
        <v>84.458904762577305</v>
      </c>
      <c r="AF150" s="236">
        <v>11.950999795203501</v>
      </c>
      <c r="AG150" s="236">
        <v>44.958586092200797</v>
      </c>
      <c r="AH150" s="236">
        <v>57.612448271235301</v>
      </c>
      <c r="AI150" s="236">
        <v>65.155292223383498</v>
      </c>
      <c r="AJ150" s="236">
        <v>33.007586296997303</v>
      </c>
      <c r="AK150" s="236">
        <v>53.204292428179997</v>
      </c>
      <c r="AL150" s="236">
        <v>39.500318670376501</v>
      </c>
      <c r="AM150" s="233">
        <v>19.3036125391938</v>
      </c>
    </row>
    <row r="151" spans="1:39">
      <c r="A151" s="233" t="s">
        <v>569</v>
      </c>
      <c r="B151" s="234">
        <v>690</v>
      </c>
      <c r="C151" s="233" t="s">
        <v>570</v>
      </c>
      <c r="D151" s="233" t="s">
        <v>571</v>
      </c>
      <c r="E151" s="233" t="s">
        <v>572</v>
      </c>
      <c r="F151" s="235">
        <v>50.439</v>
      </c>
      <c r="G151" s="235">
        <v>47.901000000000003</v>
      </c>
      <c r="H151" s="235">
        <f t="shared" si="2"/>
        <v>98.34</v>
      </c>
      <c r="I151" s="233">
        <v>3.4952727868047302</v>
      </c>
      <c r="J151" s="233">
        <v>8.7852494577006492</v>
      </c>
      <c r="K151" s="233">
        <v>23.644251626898001</v>
      </c>
      <c r="L151" s="233">
        <v>38.386608275692701</v>
      </c>
      <c r="M151" s="233">
        <v>9.4871689927557004</v>
      </c>
      <c r="N151" s="233">
        <v>14.859002169197399</v>
      </c>
      <c r="O151" s="233">
        <v>76.355748373101903</v>
      </c>
      <c r="P151" s="233">
        <v>14.742356648794701</v>
      </c>
      <c r="Q151" s="233">
        <v>54.800884050259903</v>
      </c>
      <c r="R151" s="233">
        <v>66.782630049523206</v>
      </c>
      <c r="S151" s="233">
        <v>70.734252854745606</v>
      </c>
      <c r="T151" s="233">
        <v>40.058527401465199</v>
      </c>
      <c r="U151" s="233">
        <v>55.991896205951001</v>
      </c>
      <c r="V151" s="233">
        <v>57.864363770310597</v>
      </c>
      <c r="W151" s="233">
        <v>21.5548643228421</v>
      </c>
      <c r="X151" s="233">
        <v>5.62149551835632</v>
      </c>
      <c r="Y151" s="233">
        <v>3.41350698456045</v>
      </c>
      <c r="Z151" s="233">
        <v>8.5831320239470692</v>
      </c>
      <c r="AA151" s="233">
        <v>23.241256170570299</v>
      </c>
      <c r="AB151" s="233">
        <v>37.489759479046299</v>
      </c>
      <c r="AC151" s="233">
        <v>9.3393551097573795</v>
      </c>
      <c r="AD151" s="233">
        <v>14.658124146623299</v>
      </c>
      <c r="AE151" s="233">
        <v>76.758743829429704</v>
      </c>
      <c r="AF151" s="233">
        <v>14.248503308476</v>
      </c>
      <c r="AG151" s="233">
        <v>52.074361936771403</v>
      </c>
      <c r="AH151" s="233">
        <v>64.432307530721602</v>
      </c>
      <c r="AI151" s="233">
        <v>68.589433882995493</v>
      </c>
      <c r="AJ151" s="233">
        <v>37.8258586282953</v>
      </c>
      <c r="AK151" s="233">
        <v>54.340930574519497</v>
      </c>
      <c r="AL151" s="233">
        <v>24.684381892658301</v>
      </c>
      <c r="AM151" s="236">
        <v>8.1693099464342005</v>
      </c>
    </row>
    <row r="152" spans="1:39">
      <c r="A152" s="236" t="s">
        <v>573</v>
      </c>
      <c r="B152" s="237">
        <v>694</v>
      </c>
      <c r="C152" s="236" t="s">
        <v>574</v>
      </c>
      <c r="D152" s="236" t="s">
        <v>575</v>
      </c>
      <c r="E152" s="236" t="s">
        <v>576</v>
      </c>
      <c r="F152" s="238">
        <v>3981.2389999999991</v>
      </c>
      <c r="G152" s="238">
        <v>3995.7460000000001</v>
      </c>
      <c r="H152" s="235">
        <f t="shared" si="2"/>
        <v>7976.9849999999988</v>
      </c>
      <c r="I152" s="236">
        <v>6.4239475967818302</v>
      </c>
      <c r="J152" s="236">
        <v>15.7609248790961</v>
      </c>
      <c r="K152" s="236">
        <v>42.753329769553702</v>
      </c>
      <c r="L152" s="236">
        <v>62.734233172023799</v>
      </c>
      <c r="M152" s="236">
        <v>17.061328638413901</v>
      </c>
      <c r="N152" s="236">
        <v>26.9924048904576</v>
      </c>
      <c r="O152" s="236">
        <v>57.246670230446298</v>
      </c>
      <c r="P152" s="236">
        <v>19.980903402469998</v>
      </c>
      <c r="Q152" s="236">
        <v>48.062547150401201</v>
      </c>
      <c r="R152" s="236">
        <v>52.960677230861798</v>
      </c>
      <c r="S152" s="236">
        <v>54.619713713881097</v>
      </c>
      <c r="T152" s="236">
        <v>28.081643747931199</v>
      </c>
      <c r="U152" s="236">
        <v>34.638810311411099</v>
      </c>
      <c r="V152" s="236">
        <v>35.924714686248002</v>
      </c>
      <c r="W152" s="236">
        <v>9.18412308004506</v>
      </c>
      <c r="X152" s="236">
        <v>2.6269565165651598</v>
      </c>
      <c r="Y152" s="236">
        <v>6.2363322080587302</v>
      </c>
      <c r="Z152" s="236">
        <v>15.3672531285037</v>
      </c>
      <c r="AA152" s="236">
        <v>41.980524211297997</v>
      </c>
      <c r="AB152" s="236">
        <v>62.051108224218503</v>
      </c>
      <c r="AC152" s="236">
        <v>16.7893323353615</v>
      </c>
      <c r="AD152" s="236">
        <v>26.613271082794299</v>
      </c>
      <c r="AE152" s="236">
        <v>58.019475788702003</v>
      </c>
      <c r="AF152" s="236">
        <v>20.070584012920499</v>
      </c>
      <c r="AG152" s="236">
        <v>48.364282219485297</v>
      </c>
      <c r="AH152" s="236">
        <v>53.508049982438401</v>
      </c>
      <c r="AI152" s="236">
        <v>55.308325753962102</v>
      </c>
      <c r="AJ152" s="236">
        <v>28.293698206564802</v>
      </c>
      <c r="AK152" s="236">
        <v>35.237741741041702</v>
      </c>
      <c r="AL152" s="236">
        <v>9.6551935692166602</v>
      </c>
      <c r="AM152" s="233">
        <v>2.7111500347398501</v>
      </c>
    </row>
    <row r="153" spans="1:39">
      <c r="A153" s="233" t="s">
        <v>577</v>
      </c>
      <c r="B153" s="234">
        <v>702</v>
      </c>
      <c r="C153" s="233" t="s">
        <v>578</v>
      </c>
      <c r="D153" s="233" t="s">
        <v>579</v>
      </c>
      <c r="E153" s="233" t="s">
        <v>580</v>
      </c>
      <c r="F153" s="235">
        <v>3062.2570000000001</v>
      </c>
      <c r="G153" s="235">
        <v>2788.0859999999993</v>
      </c>
      <c r="H153" s="235">
        <f t="shared" si="2"/>
        <v>5850.3429999999989</v>
      </c>
      <c r="I153" s="233">
        <v>2.0133922355413199</v>
      </c>
      <c r="J153" s="233">
        <v>5.0155965476024704</v>
      </c>
      <c r="K153" s="233">
        <v>16.103448961767199</v>
      </c>
      <c r="L153" s="233">
        <v>29.707363559593301</v>
      </c>
      <c r="M153" s="233">
        <v>6.3518544973210096</v>
      </c>
      <c r="N153" s="233">
        <v>11.087852414164701</v>
      </c>
      <c r="O153" s="233">
        <v>83.896551038232801</v>
      </c>
      <c r="P153" s="233">
        <v>13.603914597826099</v>
      </c>
      <c r="Q153" s="233">
        <v>50.773317516776402</v>
      </c>
      <c r="R153" s="233">
        <v>66.975354742345004</v>
      </c>
      <c r="S153" s="233">
        <v>73.207138426819199</v>
      </c>
      <c r="T153" s="233">
        <v>37.169402918950396</v>
      </c>
      <c r="U153" s="233">
        <v>59.603223828993102</v>
      </c>
      <c r="V153" s="233">
        <v>64.153003488201804</v>
      </c>
      <c r="W153" s="233">
        <v>33.123233521456299</v>
      </c>
      <c r="X153" s="233">
        <v>10.6894126114136</v>
      </c>
      <c r="Y153" s="233">
        <v>1.8000109204725401</v>
      </c>
      <c r="Z153" s="233">
        <v>4.5810677756230396</v>
      </c>
      <c r="AA153" s="233">
        <v>14.997014483717001</v>
      </c>
      <c r="AB153" s="233">
        <v>27.759559376546701</v>
      </c>
      <c r="AC153" s="233">
        <v>5.9908655531307398</v>
      </c>
      <c r="AD153" s="233">
        <v>10.415946708093999</v>
      </c>
      <c r="AE153" s="233">
        <v>85.002985516283005</v>
      </c>
      <c r="AF153" s="233">
        <v>12.7625448928297</v>
      </c>
      <c r="AG153" s="233">
        <v>50.602193605887201</v>
      </c>
      <c r="AH153" s="233">
        <v>66.236188684629099</v>
      </c>
      <c r="AI153" s="233">
        <v>72.356690815001897</v>
      </c>
      <c r="AJ153" s="233">
        <v>37.8396487130575</v>
      </c>
      <c r="AK153" s="233">
        <v>59.594145922172302</v>
      </c>
      <c r="AL153" s="233">
        <v>34.400791910395803</v>
      </c>
      <c r="AM153" s="236">
        <v>12.646294701281001</v>
      </c>
    </row>
    <row r="154" spans="1:39">
      <c r="A154" s="236" t="s">
        <v>581</v>
      </c>
      <c r="B154" s="237">
        <v>703</v>
      </c>
      <c r="C154" s="236" t="s">
        <v>582</v>
      </c>
      <c r="D154" s="236" t="s">
        <v>583</v>
      </c>
      <c r="E154" s="236" t="s">
        <v>584</v>
      </c>
      <c r="F154" s="238">
        <v>2658.4789999999998</v>
      </c>
      <c r="G154" s="238">
        <v>2801.1640000000007</v>
      </c>
      <c r="H154" s="235">
        <f t="shared" si="2"/>
        <v>5459.643</v>
      </c>
      <c r="I154" s="236">
        <v>2.1350234873875298</v>
      </c>
      <c r="J154" s="236">
        <v>5.5069416588882296</v>
      </c>
      <c r="K154" s="236">
        <v>15.9678875799151</v>
      </c>
      <c r="L154" s="236">
        <v>28.529067899556502</v>
      </c>
      <c r="M154" s="236">
        <v>6.4624819638535698</v>
      </c>
      <c r="N154" s="236">
        <v>10.4609459210269</v>
      </c>
      <c r="O154" s="236">
        <v>84.0321124200849</v>
      </c>
      <c r="P154" s="236">
        <v>12.5611803196414</v>
      </c>
      <c r="Q154" s="236">
        <v>52.906980059958897</v>
      </c>
      <c r="R154" s="236">
        <v>66.710111838365705</v>
      </c>
      <c r="S154" s="236">
        <v>73.120353137766699</v>
      </c>
      <c r="T154" s="236">
        <v>40.345799740317503</v>
      </c>
      <c r="U154" s="236">
        <v>60.559172818125298</v>
      </c>
      <c r="V154" s="236">
        <v>64.905109433546201</v>
      </c>
      <c r="W154" s="236">
        <v>31.125132360125999</v>
      </c>
      <c r="X154" s="236">
        <v>10.911759282318201</v>
      </c>
      <c r="Y154" s="236">
        <v>1.9142934699224601</v>
      </c>
      <c r="Z154" s="236">
        <v>4.9394822759943002</v>
      </c>
      <c r="AA154" s="236">
        <v>14.3295198387195</v>
      </c>
      <c r="AB154" s="236">
        <v>25.605883575221799</v>
      </c>
      <c r="AC154" s="236">
        <v>5.8014615236883396</v>
      </c>
      <c r="AD154" s="236">
        <v>9.3900375627252508</v>
      </c>
      <c r="AE154" s="236">
        <v>85.670480161280494</v>
      </c>
      <c r="AF154" s="236">
        <v>11.276363736502301</v>
      </c>
      <c r="AG154" s="236">
        <v>48.366935217084503</v>
      </c>
      <c r="AH154" s="236">
        <v>62.118941119543003</v>
      </c>
      <c r="AI154" s="236">
        <v>69.0662392176596</v>
      </c>
      <c r="AJ154" s="236">
        <v>37.090571480582199</v>
      </c>
      <c r="AK154" s="236">
        <v>57.789875481157303</v>
      </c>
      <c r="AL154" s="236">
        <v>37.303544944195899</v>
      </c>
      <c r="AM154" s="233">
        <v>16.604240943620901</v>
      </c>
    </row>
    <row r="155" spans="1:39">
      <c r="A155" s="233" t="s">
        <v>585</v>
      </c>
      <c r="B155" s="234">
        <v>705</v>
      </c>
      <c r="C155" s="233" t="s">
        <v>586</v>
      </c>
      <c r="D155" s="233" t="s">
        <v>587</v>
      </c>
      <c r="E155" s="233" t="s">
        <v>588</v>
      </c>
      <c r="F155" s="235">
        <v>1035.2300000000002</v>
      </c>
      <c r="G155" s="235">
        <v>1043.7020000000002</v>
      </c>
      <c r="H155" s="235">
        <f t="shared" si="2"/>
        <v>2078.9320000000007</v>
      </c>
      <c r="I155" s="233">
        <v>2.2181283103115801</v>
      </c>
      <c r="J155" s="233">
        <v>5.5762527955910697</v>
      </c>
      <c r="K155" s="233">
        <v>15.342769713551901</v>
      </c>
      <c r="L155" s="233">
        <v>25.278388178308902</v>
      </c>
      <c r="M155" s="233">
        <v>6.1482512187411</v>
      </c>
      <c r="N155" s="233">
        <v>9.7665169179608693</v>
      </c>
      <c r="O155" s="233">
        <v>84.657230286448097</v>
      </c>
      <c r="P155" s="233">
        <v>9.9356184647570096</v>
      </c>
      <c r="Q155" s="233">
        <v>47.420250032200499</v>
      </c>
      <c r="R155" s="233">
        <v>62.4357453153115</v>
      </c>
      <c r="S155" s="233">
        <v>69.762340607399494</v>
      </c>
      <c r="T155" s="233">
        <v>37.4846315674435</v>
      </c>
      <c r="U155" s="233">
        <v>59.826722142642502</v>
      </c>
      <c r="V155" s="233">
        <v>64.579714839953596</v>
      </c>
      <c r="W155" s="233">
        <v>37.236980254247499</v>
      </c>
      <c r="X155" s="233">
        <v>14.8948896790486</v>
      </c>
      <c r="Y155" s="233">
        <v>2.0404757657538402</v>
      </c>
      <c r="Z155" s="233">
        <v>5.1643908399172096</v>
      </c>
      <c r="AA155" s="233">
        <v>14.23566555225</v>
      </c>
      <c r="AB155" s="233">
        <v>23.5121770637327</v>
      </c>
      <c r="AC155" s="233">
        <v>5.7303265183207399</v>
      </c>
      <c r="AD155" s="233">
        <v>9.0712747123328104</v>
      </c>
      <c r="AE155" s="233">
        <v>85.764334447750002</v>
      </c>
      <c r="AF155" s="233">
        <v>9.2765115114827097</v>
      </c>
      <c r="AG155" s="233">
        <v>43.271301949365998</v>
      </c>
      <c r="AH155" s="233">
        <v>57.674225902418499</v>
      </c>
      <c r="AI155" s="233">
        <v>64.775131437865994</v>
      </c>
      <c r="AJ155" s="233">
        <v>33.994790437883303</v>
      </c>
      <c r="AK155" s="233">
        <v>55.498619926383299</v>
      </c>
      <c r="AL155" s="233">
        <v>42.493032498383997</v>
      </c>
      <c r="AM155" s="236">
        <v>20.989203009884001</v>
      </c>
    </row>
    <row r="156" spans="1:39">
      <c r="A156" s="236" t="s">
        <v>589</v>
      </c>
      <c r="B156" s="237">
        <v>90</v>
      </c>
      <c r="C156" s="236" t="s">
        <v>590</v>
      </c>
      <c r="D156" s="236" t="s">
        <v>591</v>
      </c>
      <c r="E156" s="236" t="s">
        <v>592</v>
      </c>
      <c r="F156" s="238">
        <v>349.262</v>
      </c>
      <c r="G156" s="238">
        <v>337.61599999999999</v>
      </c>
      <c r="H156" s="235">
        <f t="shared" si="2"/>
        <v>686.87799999999993</v>
      </c>
      <c r="I156" s="236">
        <v>5.6964866041448001</v>
      </c>
      <c r="J156" s="236">
        <v>14.2209683352288</v>
      </c>
      <c r="K156" s="236">
        <v>40.101173381749</v>
      </c>
      <c r="L156" s="236">
        <v>60.186350705142701</v>
      </c>
      <c r="M156" s="236">
        <v>16.1546690604509</v>
      </c>
      <c r="N156" s="236">
        <v>25.880205046520199</v>
      </c>
      <c r="O156" s="236">
        <v>59.898826618251</v>
      </c>
      <c r="P156" s="236">
        <v>20.085177323393701</v>
      </c>
      <c r="Q156" s="236">
        <v>49.193278955734101</v>
      </c>
      <c r="R156" s="236">
        <v>54.790549501726197</v>
      </c>
      <c r="S156" s="236">
        <v>56.570026626350298</v>
      </c>
      <c r="T156" s="236">
        <v>29.1081016323404</v>
      </c>
      <c r="U156" s="236">
        <v>36.484849302956597</v>
      </c>
      <c r="V156" s="236">
        <v>37.827978253459897</v>
      </c>
      <c r="W156" s="236">
        <v>10.705547662516899</v>
      </c>
      <c r="X156" s="236">
        <v>3.3287999919007301</v>
      </c>
      <c r="Y156" s="236">
        <v>5.5387303841708801</v>
      </c>
      <c r="Z156" s="236">
        <v>13.783644540986099</v>
      </c>
      <c r="AA156" s="236">
        <v>38.857791330743403</v>
      </c>
      <c r="AB156" s="236">
        <v>58.207318601445301</v>
      </c>
      <c r="AC156" s="236">
        <v>15.6369661779244</v>
      </c>
      <c r="AD156" s="236">
        <v>25.0741467897573</v>
      </c>
      <c r="AE156" s="236">
        <v>61.142208669256597</v>
      </c>
      <c r="AF156" s="236">
        <v>19.349527270701898</v>
      </c>
      <c r="AG156" s="236">
        <v>50.299720121976698</v>
      </c>
      <c r="AH156" s="236">
        <v>55.901109765097402</v>
      </c>
      <c r="AI156" s="236">
        <v>57.678892184301802</v>
      </c>
      <c r="AJ156" s="236">
        <v>30.950192851274799</v>
      </c>
      <c r="AK156" s="236">
        <v>38.329364913599797</v>
      </c>
      <c r="AL156" s="236">
        <v>10.842488547279901</v>
      </c>
      <c r="AM156" s="233">
        <v>3.4633164849548201</v>
      </c>
    </row>
    <row r="157" spans="1:39">
      <c r="A157" s="233" t="s">
        <v>593</v>
      </c>
      <c r="B157" s="234">
        <v>706</v>
      </c>
      <c r="C157" s="233" t="s">
        <v>594</v>
      </c>
      <c r="D157" s="233" t="s">
        <v>595</v>
      </c>
      <c r="E157" s="233" t="s">
        <v>596</v>
      </c>
      <c r="F157" s="235">
        <v>7924.0870000000004</v>
      </c>
      <c r="G157" s="235">
        <v>7969.1319999999987</v>
      </c>
      <c r="H157" s="235">
        <f t="shared" si="2"/>
        <v>15893.218999999999</v>
      </c>
      <c r="I157" s="233">
        <v>7.7489173214961298</v>
      </c>
      <c r="J157" s="233">
        <v>18.5126613818307</v>
      </c>
      <c r="K157" s="233">
        <v>47.2238776274759</v>
      </c>
      <c r="L157" s="233">
        <v>67.251012819263707</v>
      </c>
      <c r="M157" s="233">
        <v>18.444422876050901</v>
      </c>
      <c r="N157" s="233">
        <v>28.7112162456452</v>
      </c>
      <c r="O157" s="233">
        <v>52.7761223725241</v>
      </c>
      <c r="P157" s="233">
        <v>20.027135191787799</v>
      </c>
      <c r="Q157" s="233">
        <v>44.159441513564701</v>
      </c>
      <c r="R157" s="233">
        <v>48.646696114354498</v>
      </c>
      <c r="S157" s="233">
        <v>50.196565272655</v>
      </c>
      <c r="T157" s="233">
        <v>24.132306321776898</v>
      </c>
      <c r="U157" s="233">
        <v>30.169430080867201</v>
      </c>
      <c r="V157" s="233">
        <v>31.304111803100501</v>
      </c>
      <c r="W157" s="233">
        <v>8.6166808589594108</v>
      </c>
      <c r="X157" s="233">
        <v>2.5795570998690902</v>
      </c>
      <c r="Y157" s="233">
        <v>7.5375237559573298</v>
      </c>
      <c r="Z157" s="233">
        <v>18.033675655317499</v>
      </c>
      <c r="AA157" s="233">
        <v>46.1911581613927</v>
      </c>
      <c r="AB157" s="233">
        <v>65.993980255637098</v>
      </c>
      <c r="AC157" s="233">
        <v>18.062480820391801</v>
      </c>
      <c r="AD157" s="233">
        <v>28.157482506075201</v>
      </c>
      <c r="AE157" s="233">
        <v>53.8088418386073</v>
      </c>
      <c r="AF157" s="233">
        <v>19.802822094244402</v>
      </c>
      <c r="AG157" s="233">
        <v>44.211056791569597</v>
      </c>
      <c r="AH157" s="233">
        <v>49.013307764828099</v>
      </c>
      <c r="AI157" s="233">
        <v>50.742632585414</v>
      </c>
      <c r="AJ157" s="233">
        <v>24.408234697325302</v>
      </c>
      <c r="AK157" s="233">
        <v>30.939810491169599</v>
      </c>
      <c r="AL157" s="233">
        <v>9.5977850470376698</v>
      </c>
      <c r="AM157" s="236">
        <v>3.0662092531933398</v>
      </c>
    </row>
    <row r="158" spans="1:39">
      <c r="A158" s="236" t="s">
        <v>597</v>
      </c>
      <c r="B158" s="237">
        <v>710</v>
      </c>
      <c r="C158" s="236" t="s">
        <v>598</v>
      </c>
      <c r="D158" s="236" t="s">
        <v>599</v>
      </c>
      <c r="E158" s="236" t="s">
        <v>600</v>
      </c>
      <c r="F158" s="238">
        <v>29216.011999999995</v>
      </c>
      <c r="G158" s="238">
        <v>30092.678000000007</v>
      </c>
      <c r="H158" s="235">
        <f t="shared" si="2"/>
        <v>59308.69</v>
      </c>
      <c r="I158" s="236">
        <v>3.77024796867261</v>
      </c>
      <c r="J158" s="236">
        <v>10.109266411456501</v>
      </c>
      <c r="K158" s="236">
        <v>30.027227414627799</v>
      </c>
      <c r="L158" s="236">
        <v>50.8127921754377</v>
      </c>
      <c r="M158" s="236">
        <v>12.3980231408768</v>
      </c>
      <c r="N158" s="236">
        <v>19.917961003171399</v>
      </c>
      <c r="O158" s="236">
        <v>69.972772585372198</v>
      </c>
      <c r="P158" s="236">
        <v>20.785564760809802</v>
      </c>
      <c r="Q158" s="236">
        <v>56.971575746412299</v>
      </c>
      <c r="R158" s="236">
        <v>64.496193192317904</v>
      </c>
      <c r="S158" s="236">
        <v>66.6120329633751</v>
      </c>
      <c r="T158" s="236">
        <v>36.186010985602401</v>
      </c>
      <c r="U158" s="236">
        <v>45.826468202565202</v>
      </c>
      <c r="V158" s="236">
        <v>47.046246078329801</v>
      </c>
      <c r="W158" s="236">
        <v>13.001196838959901</v>
      </c>
      <c r="X158" s="236">
        <v>3.3607396219971202</v>
      </c>
      <c r="Y158" s="236">
        <v>3.7136945417910199</v>
      </c>
      <c r="Z158" s="236">
        <v>9.6092896618838903</v>
      </c>
      <c r="AA158" s="236">
        <v>28.476724388522101</v>
      </c>
      <c r="AB158" s="236">
        <v>46.430828562297897</v>
      </c>
      <c r="AC158" s="236">
        <v>11.6619958365155</v>
      </c>
      <c r="AD158" s="236">
        <v>18.867434726638201</v>
      </c>
      <c r="AE158" s="236">
        <v>71.523275611477899</v>
      </c>
      <c r="AF158" s="236">
        <v>17.9541041737758</v>
      </c>
      <c r="AG158" s="236">
        <v>53.000261797592501</v>
      </c>
      <c r="AH158" s="236">
        <v>61.624766413354898</v>
      </c>
      <c r="AI158" s="236">
        <v>64.871403217041006</v>
      </c>
      <c r="AJ158" s="236">
        <v>35.046157623816697</v>
      </c>
      <c r="AK158" s="236">
        <v>46.917299043265203</v>
      </c>
      <c r="AL158" s="236">
        <v>18.523013813885399</v>
      </c>
      <c r="AM158" s="233">
        <v>6.6518723944368903</v>
      </c>
    </row>
    <row r="159" spans="1:39">
      <c r="A159" s="233" t="s">
        <v>601</v>
      </c>
      <c r="B159" s="234">
        <v>728</v>
      </c>
      <c r="C159" s="233" t="s">
        <v>602</v>
      </c>
      <c r="D159" s="233" t="s">
        <v>603</v>
      </c>
      <c r="E159" s="233" t="s">
        <v>604</v>
      </c>
      <c r="F159" s="235">
        <v>5603.0140000000001</v>
      </c>
      <c r="G159" s="235">
        <v>5590.7149999999992</v>
      </c>
      <c r="H159" s="235">
        <f t="shared" si="2"/>
        <v>11193.728999999999</v>
      </c>
      <c r="I159" s="233">
        <v>6.68309589282293</v>
      </c>
      <c r="J159" s="233">
        <v>16.0586461230133</v>
      </c>
      <c r="K159" s="233">
        <v>42.561794087032197</v>
      </c>
      <c r="L159" s="233">
        <v>63.039257953091898</v>
      </c>
      <c r="M159" s="233">
        <v>16.6861189222221</v>
      </c>
      <c r="N159" s="233">
        <v>26.503147964018801</v>
      </c>
      <c r="O159" s="233">
        <v>57.438205912967803</v>
      </c>
      <c r="P159" s="233">
        <v>20.477463866059701</v>
      </c>
      <c r="Q159" s="233">
        <v>47.674646299087001</v>
      </c>
      <c r="R159" s="233">
        <v>52.6469308807308</v>
      </c>
      <c r="S159" s="233">
        <v>54.232046959881103</v>
      </c>
      <c r="T159" s="233">
        <v>27.197182433027301</v>
      </c>
      <c r="U159" s="233">
        <v>33.754583093821402</v>
      </c>
      <c r="V159" s="233">
        <v>35.1038931698955</v>
      </c>
      <c r="W159" s="233">
        <v>9.7635596138808207</v>
      </c>
      <c r="X159" s="233">
        <v>3.2061589530867298</v>
      </c>
      <c r="Y159" s="233">
        <v>6.4990796321125597</v>
      </c>
      <c r="Z159" s="233">
        <v>15.640085836073901</v>
      </c>
      <c r="AA159" s="233">
        <v>41.608647237760103</v>
      </c>
      <c r="AB159" s="233">
        <v>61.863363514474301</v>
      </c>
      <c r="AC159" s="233">
        <v>16.328089238350898</v>
      </c>
      <c r="AD159" s="233">
        <v>25.968561401686198</v>
      </c>
      <c r="AE159" s="233">
        <v>58.391352762239897</v>
      </c>
      <c r="AF159" s="233">
        <v>20.254716276714198</v>
      </c>
      <c r="AG159" s="233">
        <v>47.637381545244097</v>
      </c>
      <c r="AH159" s="233">
        <v>52.908865723681899</v>
      </c>
      <c r="AI159" s="233">
        <v>54.667807251914603</v>
      </c>
      <c r="AJ159" s="233">
        <v>27.382665268529902</v>
      </c>
      <c r="AK159" s="233">
        <v>34.413090975200397</v>
      </c>
      <c r="AL159" s="233">
        <v>10.753971216995801</v>
      </c>
      <c r="AM159" s="236">
        <v>3.7235455103253301</v>
      </c>
    </row>
    <row r="160" spans="1:39">
      <c r="A160" s="236" t="s">
        <v>605</v>
      </c>
      <c r="B160" s="237">
        <v>724</v>
      </c>
      <c r="C160" s="236" t="s">
        <v>606</v>
      </c>
      <c r="D160" s="236" t="s">
        <v>67</v>
      </c>
      <c r="E160" s="236" t="s">
        <v>68</v>
      </c>
      <c r="F160" s="238">
        <v>22978.338000000007</v>
      </c>
      <c r="G160" s="238">
        <v>23776.445000000007</v>
      </c>
      <c r="H160" s="235">
        <f t="shared" si="2"/>
        <v>46754.78300000001</v>
      </c>
      <c r="I160" s="236">
        <v>1.7711017799509501</v>
      </c>
      <c r="J160" s="236">
        <v>4.8860921831144397</v>
      </c>
      <c r="K160" s="236">
        <v>15.624877754871999</v>
      </c>
      <c r="L160" s="236">
        <v>25.3777990515303</v>
      </c>
      <c r="M160" s="236">
        <v>6.6307790700516698</v>
      </c>
      <c r="N160" s="236">
        <v>10.7387855717576</v>
      </c>
      <c r="O160" s="236">
        <v>84.375122245127997</v>
      </c>
      <c r="P160" s="236">
        <v>9.7529212966583003</v>
      </c>
      <c r="Q160" s="236">
        <v>47.847877974863501</v>
      </c>
      <c r="R160" s="236">
        <v>62.428934279737298</v>
      </c>
      <c r="S160" s="236">
        <v>67.952789655369202</v>
      </c>
      <c r="T160" s="236">
        <v>38.0949566782052</v>
      </c>
      <c r="U160" s="236">
        <v>58.199868358710901</v>
      </c>
      <c r="V160" s="236">
        <v>63.123368379772998</v>
      </c>
      <c r="W160" s="236">
        <v>36.527244270264497</v>
      </c>
      <c r="X160" s="236">
        <v>16.422332589758799</v>
      </c>
      <c r="Y160" s="236">
        <v>1.59998907145591</v>
      </c>
      <c r="Z160" s="236">
        <v>4.4210429286659698</v>
      </c>
      <c r="AA160" s="236">
        <v>14.166138042321601</v>
      </c>
      <c r="AB160" s="236">
        <v>23.181591122821899</v>
      </c>
      <c r="AC160" s="236">
        <v>6.0136526794636698</v>
      </c>
      <c r="AD160" s="236">
        <v>9.7450951136555801</v>
      </c>
      <c r="AE160" s="236">
        <v>85.833861957678394</v>
      </c>
      <c r="AF160" s="236">
        <v>9.0154530805003894</v>
      </c>
      <c r="AG160" s="236">
        <v>44.853323873276899</v>
      </c>
      <c r="AH160" s="236">
        <v>59.104962452705699</v>
      </c>
      <c r="AI160" s="236">
        <v>64.765356753555096</v>
      </c>
      <c r="AJ160" s="236">
        <v>35.837870792776499</v>
      </c>
      <c r="AK160" s="236">
        <v>55.749903673054703</v>
      </c>
      <c r="AL160" s="236">
        <v>40.980538084401601</v>
      </c>
      <c r="AM160" s="233">
        <v>21.068505204123301</v>
      </c>
    </row>
    <row r="161" spans="1:39">
      <c r="A161" s="233" t="s">
        <v>607</v>
      </c>
      <c r="B161" s="234">
        <v>144</v>
      </c>
      <c r="C161" s="233" t="s">
        <v>608</v>
      </c>
      <c r="D161" s="233" t="s">
        <v>609</v>
      </c>
      <c r="E161" s="233" t="s">
        <v>610</v>
      </c>
      <c r="F161" s="235">
        <v>10267.351000000001</v>
      </c>
      <c r="G161" s="235">
        <v>11145.898999999998</v>
      </c>
      <c r="H161" s="235">
        <f t="shared" si="2"/>
        <v>21413.25</v>
      </c>
      <c r="I161" s="233">
        <v>3.2197164039352</v>
      </c>
      <c r="J161" s="233">
        <v>8.3575602369072506</v>
      </c>
      <c r="K161" s="233">
        <v>25.694580281672099</v>
      </c>
      <c r="L161" s="233">
        <v>41.178497732898897</v>
      </c>
      <c r="M161" s="233">
        <v>10.5576623686877</v>
      </c>
      <c r="N161" s="233">
        <v>17.337020044764799</v>
      </c>
      <c r="O161" s="233">
        <v>74.305419718327897</v>
      </c>
      <c r="P161" s="233">
        <v>15.483917451226899</v>
      </c>
      <c r="Q161" s="233">
        <v>50.033599672280403</v>
      </c>
      <c r="R161" s="233">
        <v>61.488953493965099</v>
      </c>
      <c r="S161" s="233">
        <v>65.941075413978396</v>
      </c>
      <c r="T161" s="233">
        <v>34.549682221053601</v>
      </c>
      <c r="U161" s="233">
        <v>50.457157962751602</v>
      </c>
      <c r="V161" s="233">
        <v>54.175017315906302</v>
      </c>
      <c r="W161" s="233">
        <v>24.271820046047502</v>
      </c>
      <c r="X161" s="233">
        <v>8.3643443043494994</v>
      </c>
      <c r="Y161" s="233">
        <v>2.8815510352051898</v>
      </c>
      <c r="Z161" s="233">
        <v>7.5354800681759802</v>
      </c>
      <c r="AA161" s="233">
        <v>23.5320582286503</v>
      </c>
      <c r="AB161" s="233">
        <v>38.197243116593903</v>
      </c>
      <c r="AC161" s="233">
        <v>9.7099447024920291</v>
      </c>
      <c r="AD161" s="233">
        <v>15.9965781604744</v>
      </c>
      <c r="AE161" s="233">
        <v>76.4679417713497</v>
      </c>
      <c r="AF161" s="233">
        <v>14.6651848879435</v>
      </c>
      <c r="AG161" s="233">
        <v>49.670437433970598</v>
      </c>
      <c r="AH161" s="233">
        <v>61.488339981217898</v>
      </c>
      <c r="AI161" s="233">
        <v>66.291946549406106</v>
      </c>
      <c r="AJ161" s="233">
        <v>35.005252546027101</v>
      </c>
      <c r="AK161" s="233">
        <v>51.626761661462602</v>
      </c>
      <c r="AL161" s="233">
        <v>26.797504337379099</v>
      </c>
      <c r="AM161" s="236">
        <v>10.1759952219436</v>
      </c>
    </row>
    <row r="162" spans="1:39">
      <c r="A162" s="233" t="s">
        <v>611</v>
      </c>
      <c r="B162" s="234">
        <v>729</v>
      </c>
      <c r="C162" s="233" t="s">
        <v>612</v>
      </c>
      <c r="D162" s="233" t="s">
        <v>613</v>
      </c>
      <c r="E162" s="233" t="s">
        <v>614</v>
      </c>
      <c r="F162" s="235">
        <v>21907.294999999998</v>
      </c>
      <c r="G162" s="235">
        <v>21941.974000000006</v>
      </c>
      <c r="H162" s="235">
        <f t="shared" si="2"/>
        <v>43849.269</v>
      </c>
      <c r="I162" s="233">
        <v>6.1967808219618998</v>
      </c>
      <c r="J162" s="233">
        <v>14.9882267279147</v>
      </c>
      <c r="K162" s="233">
        <v>40.970070880262099</v>
      </c>
      <c r="L162" s="233">
        <v>61.032199850879003</v>
      </c>
      <c r="M162" s="233">
        <v>16.1774368781848</v>
      </c>
      <c r="N162" s="233">
        <v>25.981844152347399</v>
      </c>
      <c r="O162" s="233">
        <v>59.029929119737901</v>
      </c>
      <c r="P162" s="233">
        <v>20.0621289706169</v>
      </c>
      <c r="Q162" s="233">
        <v>48.905702371226198</v>
      </c>
      <c r="R162" s="233">
        <v>54.1502931695019</v>
      </c>
      <c r="S162" s="233">
        <v>55.917509410671002</v>
      </c>
      <c r="T162" s="233">
        <v>28.843573400609301</v>
      </c>
      <c r="U162" s="233">
        <v>35.855380440054098</v>
      </c>
      <c r="V162" s="233">
        <v>37.165717376410903</v>
      </c>
      <c r="W162" s="233">
        <v>10.1242267485118</v>
      </c>
      <c r="X162" s="233">
        <v>3.1124197090669701</v>
      </c>
      <c r="Y162" s="233">
        <v>6.0287816120910698</v>
      </c>
      <c r="Z162" s="233">
        <v>14.5973350551404</v>
      </c>
      <c r="AA162" s="233">
        <v>40.032747005007501</v>
      </c>
      <c r="AB162" s="233">
        <v>59.813678734104499</v>
      </c>
      <c r="AC162" s="233">
        <v>15.817569967416199</v>
      </c>
      <c r="AD162" s="233">
        <v>25.435411949867099</v>
      </c>
      <c r="AE162" s="233">
        <v>59.967252994992599</v>
      </c>
      <c r="AF162" s="233">
        <v>19.780931729097102</v>
      </c>
      <c r="AG162" s="233">
        <v>48.933222070637001</v>
      </c>
      <c r="AH162" s="233">
        <v>54.501510465462303</v>
      </c>
      <c r="AI162" s="233">
        <v>56.4218699369289</v>
      </c>
      <c r="AJ162" s="233">
        <v>29.152290341539899</v>
      </c>
      <c r="AK162" s="233">
        <v>36.640938207831901</v>
      </c>
      <c r="AL162" s="233">
        <v>11.0340309243556</v>
      </c>
      <c r="AM162" s="236">
        <v>3.5453830580636301</v>
      </c>
    </row>
    <row r="163" spans="1:39">
      <c r="A163" s="236" t="s">
        <v>615</v>
      </c>
      <c r="B163" s="237">
        <v>740</v>
      </c>
      <c r="C163" s="236" t="s">
        <v>616</v>
      </c>
      <c r="D163" s="236" t="s">
        <v>617</v>
      </c>
      <c r="E163" s="236" t="s">
        <v>618</v>
      </c>
      <c r="F163" s="238">
        <v>294.822</v>
      </c>
      <c r="G163" s="238">
        <v>291.8119999999999</v>
      </c>
      <c r="H163" s="235">
        <f t="shared" si="2"/>
        <v>586.6339999999999</v>
      </c>
      <c r="I163" s="236">
        <v>3.6208176798829599</v>
      </c>
      <c r="J163" s="236">
        <v>9.1630581021768993</v>
      </c>
      <c r="K163" s="236">
        <v>27.4307265896676</v>
      </c>
      <c r="L163" s="236">
        <v>44.344540101015298</v>
      </c>
      <c r="M163" s="236">
        <v>11.063895485189599</v>
      </c>
      <c r="N163" s="236">
        <v>18.267668487490699</v>
      </c>
      <c r="O163" s="236">
        <v>72.5692734103324</v>
      </c>
      <c r="P163" s="236">
        <v>16.913813511347701</v>
      </c>
      <c r="Q163" s="236">
        <v>52.879744741543497</v>
      </c>
      <c r="R163" s="236">
        <v>63.560605503642897</v>
      </c>
      <c r="S163" s="236">
        <v>66.732221233798199</v>
      </c>
      <c r="T163" s="236">
        <v>35.9659312301958</v>
      </c>
      <c r="U163" s="236">
        <v>49.818407722450502</v>
      </c>
      <c r="V163" s="236">
        <v>52.028025496437998</v>
      </c>
      <c r="W163" s="236">
        <v>19.689528668788899</v>
      </c>
      <c r="X163" s="236">
        <v>5.8370521765341596</v>
      </c>
      <c r="Y163" s="236">
        <v>3.4653812509919302</v>
      </c>
      <c r="Z163" s="236">
        <v>8.5842834312035592</v>
      </c>
      <c r="AA163" s="236">
        <v>26.130428845082101</v>
      </c>
      <c r="AB163" s="236">
        <v>42.509882371178499</v>
      </c>
      <c r="AC163" s="236">
        <v>10.416812764591</v>
      </c>
      <c r="AD163" s="236">
        <v>17.546145413878499</v>
      </c>
      <c r="AE163" s="236">
        <v>73.869571154917907</v>
      </c>
      <c r="AF163" s="236">
        <v>16.379453526096501</v>
      </c>
      <c r="AG163" s="236">
        <v>51.547776789438103</v>
      </c>
      <c r="AH163" s="236">
        <v>62.388673381634803</v>
      </c>
      <c r="AI163" s="236">
        <v>65.930825247197703</v>
      </c>
      <c r="AJ163" s="236">
        <v>35.168323263341698</v>
      </c>
      <c r="AK163" s="236">
        <v>49.551371721101198</v>
      </c>
      <c r="AL163" s="236">
        <v>22.3217943654798</v>
      </c>
      <c r="AM163" s="233">
        <v>7.9387459077202402</v>
      </c>
    </row>
    <row r="164" spans="1:39">
      <c r="A164" s="233" t="s">
        <v>619</v>
      </c>
      <c r="B164" s="234">
        <v>748</v>
      </c>
      <c r="C164" s="233" t="s">
        <v>620</v>
      </c>
      <c r="D164" s="233" t="s">
        <v>621</v>
      </c>
      <c r="E164" s="233" t="s">
        <v>622</v>
      </c>
      <c r="F164" s="235">
        <v>570.23599999999988</v>
      </c>
      <c r="G164" s="235">
        <v>589.928</v>
      </c>
      <c r="H164" s="235">
        <f t="shared" si="2"/>
        <v>1160.1639999999998</v>
      </c>
      <c r="I164" s="233">
        <v>5.6003532136471197</v>
      </c>
      <c r="J164" s="233">
        <v>13.727723814581701</v>
      </c>
      <c r="K164" s="233">
        <v>38.024831799284101</v>
      </c>
      <c r="L164" s="233">
        <v>61.492170535571198</v>
      </c>
      <c r="M164" s="233">
        <v>15.016922201866</v>
      </c>
      <c r="N164" s="233">
        <v>24.2971079847025</v>
      </c>
      <c r="O164" s="233">
        <v>61.9751682007158</v>
      </c>
      <c r="P164" s="233">
        <v>23.467338736287001</v>
      </c>
      <c r="Q164" s="233">
        <v>52.9463800314876</v>
      </c>
      <c r="R164" s="233">
        <v>57.209140817230796</v>
      </c>
      <c r="S164" s="233">
        <v>58.898375657169098</v>
      </c>
      <c r="T164" s="233">
        <v>29.479041295200499</v>
      </c>
      <c r="U164" s="233">
        <v>35.431036920882001</v>
      </c>
      <c r="V164" s="233">
        <v>36.761873037920203</v>
      </c>
      <c r="W164" s="233">
        <v>9.0287881692282994</v>
      </c>
      <c r="X164" s="233">
        <v>3.0767925435467798</v>
      </c>
      <c r="Y164" s="233">
        <v>5.3862401003492604</v>
      </c>
      <c r="Z164" s="233">
        <v>13.223566087854801</v>
      </c>
      <c r="AA164" s="233">
        <v>36.699573269713198</v>
      </c>
      <c r="AB164" s="233">
        <v>59.423575926017001</v>
      </c>
      <c r="AC164" s="233">
        <v>14.5056016036204</v>
      </c>
      <c r="AD164" s="233">
        <v>23.4760071818584</v>
      </c>
      <c r="AE164" s="233">
        <v>63.300426730286802</v>
      </c>
      <c r="AF164" s="233">
        <v>22.724002656303799</v>
      </c>
      <c r="AG164" s="233">
        <v>51.410853952481702</v>
      </c>
      <c r="AH164" s="233">
        <v>56.9977003295784</v>
      </c>
      <c r="AI164" s="233">
        <v>59.222508485414899</v>
      </c>
      <c r="AJ164" s="233">
        <v>28.686851296177899</v>
      </c>
      <c r="AK164" s="233">
        <v>36.498505829111103</v>
      </c>
      <c r="AL164" s="233">
        <v>11.8895727778051</v>
      </c>
      <c r="AM164" s="236">
        <v>4.0779182448718601</v>
      </c>
    </row>
    <row r="165" spans="1:39">
      <c r="A165" s="236" t="s">
        <v>623</v>
      </c>
      <c r="B165" s="237">
        <v>752</v>
      </c>
      <c r="C165" s="236" t="s">
        <v>624</v>
      </c>
      <c r="D165" s="236" t="s">
        <v>625</v>
      </c>
      <c r="E165" s="236" t="s">
        <v>626</v>
      </c>
      <c r="F165" s="238">
        <v>5058.9470000000001</v>
      </c>
      <c r="G165" s="238">
        <v>5040.3230000000021</v>
      </c>
      <c r="H165" s="235">
        <f t="shared" si="2"/>
        <v>10099.270000000002</v>
      </c>
      <c r="I165" s="236">
        <v>2.4074566328143701</v>
      </c>
      <c r="J165" s="236">
        <v>6.2017055273401898</v>
      </c>
      <c r="K165" s="236">
        <v>17.769705720512999</v>
      </c>
      <c r="L165" s="236">
        <v>30.435271056804499</v>
      </c>
      <c r="M165" s="236">
        <v>7.25660486161033</v>
      </c>
      <c r="N165" s="236">
        <v>11.5680001931728</v>
      </c>
      <c r="O165" s="236">
        <v>82.230294279486998</v>
      </c>
      <c r="P165" s="236">
        <v>12.6655653362915</v>
      </c>
      <c r="Q165" s="236">
        <v>46.018256873543699</v>
      </c>
      <c r="R165" s="236">
        <v>58.280144314796303</v>
      </c>
      <c r="S165" s="236">
        <v>63.862653338563703</v>
      </c>
      <c r="T165" s="236">
        <v>33.352691537252198</v>
      </c>
      <c r="U165" s="236">
        <v>51.197088002272203</v>
      </c>
      <c r="V165" s="236">
        <v>57.663362470909</v>
      </c>
      <c r="W165" s="236">
        <v>36.212037405943398</v>
      </c>
      <c r="X165" s="236">
        <v>18.367640940923302</v>
      </c>
      <c r="Y165" s="236">
        <v>2.28710285248627</v>
      </c>
      <c r="Z165" s="236">
        <v>5.8658887313496697</v>
      </c>
      <c r="AA165" s="236">
        <v>16.800627231810299</v>
      </c>
      <c r="AB165" s="236">
        <v>28.737326036067898</v>
      </c>
      <c r="AC165" s="236">
        <v>6.8515387189125496</v>
      </c>
      <c r="AD165" s="236">
        <v>10.9347385004606</v>
      </c>
      <c r="AE165" s="236">
        <v>83.199372768189704</v>
      </c>
      <c r="AF165" s="236">
        <v>11.936698804257601</v>
      </c>
      <c r="AG165" s="236">
        <v>44.074705336150899</v>
      </c>
      <c r="AH165" s="236">
        <v>56.075030724915898</v>
      </c>
      <c r="AI165" s="236">
        <v>61.684839315792402</v>
      </c>
      <c r="AJ165" s="236">
        <v>32.138006531893303</v>
      </c>
      <c r="AK165" s="236">
        <v>49.7481405115348</v>
      </c>
      <c r="AL165" s="236">
        <v>39.124667432038798</v>
      </c>
      <c r="AM165" s="233">
        <v>21.514533452397298</v>
      </c>
    </row>
    <row r="166" spans="1:39">
      <c r="A166" s="233" t="s">
        <v>627</v>
      </c>
      <c r="B166" s="234">
        <v>756</v>
      </c>
      <c r="C166" s="233" t="s">
        <v>628</v>
      </c>
      <c r="D166" s="233" t="s">
        <v>629</v>
      </c>
      <c r="E166" s="233" t="s">
        <v>627</v>
      </c>
      <c r="F166" s="235">
        <v>4293.648000000001</v>
      </c>
      <c r="G166" s="235">
        <v>4360.9699999999993</v>
      </c>
      <c r="H166" s="235">
        <f t="shared" si="2"/>
        <v>8654.6180000000004</v>
      </c>
      <c r="I166" s="233">
        <v>2.1357314329586199</v>
      </c>
      <c r="J166" s="233">
        <v>5.2928372145088103</v>
      </c>
      <c r="K166" s="233">
        <v>15.3180844242359</v>
      </c>
      <c r="L166" s="233">
        <v>27.0546665969073</v>
      </c>
      <c r="M166" s="233">
        <v>6.0492801199211996</v>
      </c>
      <c r="N166" s="233">
        <v>10.025247209727</v>
      </c>
      <c r="O166" s="233">
        <v>84.681915575764094</v>
      </c>
      <c r="P166" s="233">
        <v>11.736582172671399</v>
      </c>
      <c r="Q166" s="233">
        <v>48.290477969224</v>
      </c>
      <c r="R166" s="233">
        <v>63.064244719074601</v>
      </c>
      <c r="S166" s="233">
        <v>68.563366846215899</v>
      </c>
      <c r="T166" s="233">
        <v>36.553895796552503</v>
      </c>
      <c r="U166" s="233">
        <v>56.826784673544402</v>
      </c>
      <c r="V166" s="233">
        <v>62.096187610494603</v>
      </c>
      <c r="W166" s="233">
        <v>36.391437606540201</v>
      </c>
      <c r="X166" s="233">
        <v>16.118548729548198</v>
      </c>
      <c r="Y166" s="233">
        <v>1.97708542099416</v>
      </c>
      <c r="Z166" s="233">
        <v>4.9094860284467696</v>
      </c>
      <c r="AA166" s="233">
        <v>14.2429829532299</v>
      </c>
      <c r="AB166" s="233">
        <v>25.276645395004099</v>
      </c>
      <c r="AC166" s="233">
        <v>5.6313492141165398</v>
      </c>
      <c r="AD166" s="233">
        <v>9.3334969247831001</v>
      </c>
      <c r="AE166" s="233">
        <v>85.757017046770102</v>
      </c>
      <c r="AF166" s="233">
        <v>11.0336624417743</v>
      </c>
      <c r="AG166" s="233">
        <v>46.147469098641302</v>
      </c>
      <c r="AH166" s="233">
        <v>60.288764370546097</v>
      </c>
      <c r="AI166" s="233">
        <v>65.828570801122297</v>
      </c>
      <c r="AJ166" s="233">
        <v>35.113806656867098</v>
      </c>
      <c r="AK166" s="233">
        <v>54.794908359348</v>
      </c>
      <c r="AL166" s="233">
        <v>39.6095479481288</v>
      </c>
      <c r="AM166" s="236">
        <v>19.928446245647802</v>
      </c>
    </row>
    <row r="167" spans="1:39">
      <c r="A167" s="236" t="s">
        <v>630</v>
      </c>
      <c r="B167" s="237">
        <v>760</v>
      </c>
      <c r="C167" s="236" t="s">
        <v>631</v>
      </c>
      <c r="D167" s="236" t="s">
        <v>632</v>
      </c>
      <c r="E167" s="236" t="s">
        <v>633</v>
      </c>
      <c r="F167" s="238">
        <v>8760.0649999999987</v>
      </c>
      <c r="G167" s="238">
        <v>8740.5920000000006</v>
      </c>
      <c r="H167" s="235">
        <f t="shared" si="2"/>
        <v>17500.656999999999</v>
      </c>
      <c r="I167" s="236">
        <v>4.6510177911535697</v>
      </c>
      <c r="J167" s="236">
        <v>11.9961343121541</v>
      </c>
      <c r="K167" s="236">
        <v>37.572600421352298</v>
      </c>
      <c r="L167" s="236">
        <v>58.191007983871003</v>
      </c>
      <c r="M167" s="236">
        <v>15.387792826548299</v>
      </c>
      <c r="N167" s="236">
        <v>25.576466109198201</v>
      </c>
      <c r="O167" s="236">
        <v>62.427399578647702</v>
      </c>
      <c r="P167" s="236">
        <v>20.618407562518801</v>
      </c>
      <c r="Q167" s="236">
        <v>49.865419442825498</v>
      </c>
      <c r="R167" s="236">
        <v>56.415362436527801</v>
      </c>
      <c r="S167" s="236">
        <v>58.702842222219601</v>
      </c>
      <c r="T167" s="236">
        <v>29.247011880306701</v>
      </c>
      <c r="U167" s="236">
        <v>38.084434659700797</v>
      </c>
      <c r="V167" s="236">
        <v>39.5610573800762</v>
      </c>
      <c r="W167" s="236">
        <v>12.5619801358222</v>
      </c>
      <c r="X167" s="236">
        <v>3.7245573564280998</v>
      </c>
      <c r="Y167" s="236">
        <v>4.5355993232853598</v>
      </c>
      <c r="Z167" s="236">
        <v>11.689976164373</v>
      </c>
      <c r="AA167" s="236">
        <v>36.661473237897397</v>
      </c>
      <c r="AB167" s="236">
        <v>55.996571329996499</v>
      </c>
      <c r="AC167" s="236">
        <v>15.036782347975601</v>
      </c>
      <c r="AD167" s="236">
        <v>24.9714970735244</v>
      </c>
      <c r="AE167" s="236">
        <v>63.338526762102603</v>
      </c>
      <c r="AF167" s="236">
        <v>19.335098092098999</v>
      </c>
      <c r="AG167" s="236">
        <v>49.441204723692401</v>
      </c>
      <c r="AH167" s="236">
        <v>56.461604675355602</v>
      </c>
      <c r="AI167" s="236">
        <v>58.925914720645103</v>
      </c>
      <c r="AJ167" s="236">
        <v>30.106106631593299</v>
      </c>
      <c r="AK167" s="236">
        <v>39.590816628546001</v>
      </c>
      <c r="AL167" s="236">
        <v>13.8973220384102</v>
      </c>
      <c r="AM167" s="233">
        <v>4.4126120414575301</v>
      </c>
    </row>
    <row r="168" spans="1:39">
      <c r="A168" s="233" t="s">
        <v>634</v>
      </c>
      <c r="B168" s="234">
        <v>762</v>
      </c>
      <c r="C168" s="233" t="s">
        <v>635</v>
      </c>
      <c r="D168" s="233" t="s">
        <v>636</v>
      </c>
      <c r="E168" s="233" t="s">
        <v>637</v>
      </c>
      <c r="F168" s="235">
        <v>4805.7380000000003</v>
      </c>
      <c r="G168" s="235">
        <v>4731.9039999999995</v>
      </c>
      <c r="H168" s="235">
        <f t="shared" si="2"/>
        <v>9537.6419999999998</v>
      </c>
      <c r="I168" s="233">
        <v>6.0117215697694597</v>
      </c>
      <c r="J168" s="233">
        <v>14.0920020084542</v>
      </c>
      <c r="K168" s="233">
        <v>35.555296390159697</v>
      </c>
      <c r="L168" s="233">
        <v>55.8663134878595</v>
      </c>
      <c r="M168" s="233">
        <v>13.506901209798</v>
      </c>
      <c r="N168" s="233">
        <v>21.463294381705499</v>
      </c>
      <c r="O168" s="233">
        <v>64.444703609840303</v>
      </c>
      <c r="P168" s="233">
        <v>20.3110170976998</v>
      </c>
      <c r="Q168" s="233">
        <v>52.351309091747098</v>
      </c>
      <c r="R168" s="233">
        <v>59.605558026938098</v>
      </c>
      <c r="S168" s="233">
        <v>61.514893125699899</v>
      </c>
      <c r="T168" s="233">
        <v>32.040291994047301</v>
      </c>
      <c r="U168" s="233">
        <v>41.203876028000103</v>
      </c>
      <c r="V168" s="233">
        <v>42.129189604550099</v>
      </c>
      <c r="W168" s="233">
        <v>12.0933945180932</v>
      </c>
      <c r="X168" s="233">
        <v>2.92981048414036</v>
      </c>
      <c r="Y168" s="233">
        <v>5.9363633279774</v>
      </c>
      <c r="Z168" s="233">
        <v>13.6224341342384</v>
      </c>
      <c r="AA168" s="233">
        <v>34.100960961907901</v>
      </c>
      <c r="AB168" s="233">
        <v>54.235341783376697</v>
      </c>
      <c r="AC168" s="233">
        <v>12.7123798439279</v>
      </c>
      <c r="AD168" s="233">
        <v>20.478526827669501</v>
      </c>
      <c r="AE168" s="233">
        <v>65.899039038092099</v>
      </c>
      <c r="AF168" s="233">
        <v>20.134380821468799</v>
      </c>
      <c r="AG168" s="233">
        <v>53.0418914031344</v>
      </c>
      <c r="AH168" s="233">
        <v>60.704264247563401</v>
      </c>
      <c r="AI168" s="233">
        <v>62.814266746360602</v>
      </c>
      <c r="AJ168" s="233">
        <v>32.907510581665498</v>
      </c>
      <c r="AK168" s="233">
        <v>42.679885924891799</v>
      </c>
      <c r="AL168" s="233">
        <v>12.8571476349577</v>
      </c>
      <c r="AM168" s="236">
        <v>3.0847722917314702</v>
      </c>
    </row>
    <row r="169" spans="1:39">
      <c r="A169" s="236" t="s">
        <v>638</v>
      </c>
      <c r="B169" s="237">
        <v>764</v>
      </c>
      <c r="C169" s="236" t="s">
        <v>639</v>
      </c>
      <c r="D169" s="236" t="s">
        <v>640</v>
      </c>
      <c r="E169" s="236" t="s">
        <v>641</v>
      </c>
      <c r="F169" s="238">
        <v>33966.06</v>
      </c>
      <c r="G169" s="238">
        <v>35833.917999999998</v>
      </c>
      <c r="H169" s="235">
        <f t="shared" si="2"/>
        <v>69799.978000000003</v>
      </c>
      <c r="I169" s="236">
        <v>2.2692723933863301</v>
      </c>
      <c r="J169" s="236">
        <v>5.8248642796346601</v>
      </c>
      <c r="K169" s="236">
        <v>18.405110717371599</v>
      </c>
      <c r="L169" s="236">
        <v>31.874570101038699</v>
      </c>
      <c r="M169" s="236">
        <v>7.4472748581876402</v>
      </c>
      <c r="N169" s="236">
        <v>12.5802464377369</v>
      </c>
      <c r="O169" s="236">
        <v>81.594889282628401</v>
      </c>
      <c r="P169" s="236">
        <v>13.4694593836671</v>
      </c>
      <c r="Q169" s="236">
        <v>52.7899727924842</v>
      </c>
      <c r="R169" s="236">
        <v>66.884550310199003</v>
      </c>
      <c r="S169" s="236">
        <v>72.069532965262198</v>
      </c>
      <c r="T169" s="236">
        <v>39.320513408817099</v>
      </c>
      <c r="U169" s="236">
        <v>58.600073581594998</v>
      </c>
      <c r="V169" s="236">
        <v>62.186541912534501</v>
      </c>
      <c r="W169" s="236">
        <v>28.804916490144201</v>
      </c>
      <c r="X169" s="236">
        <v>9.5253563173662599</v>
      </c>
      <c r="Y169" s="236">
        <v>2.0948353628088201</v>
      </c>
      <c r="Z169" s="236">
        <v>5.3619412631580801</v>
      </c>
      <c r="AA169" s="236">
        <v>17.0359705633931</v>
      </c>
      <c r="AB169" s="236">
        <v>29.946504482719501</v>
      </c>
      <c r="AC169" s="236">
        <v>6.8726666254649302</v>
      </c>
      <c r="AD169" s="236">
        <v>11.674029300235</v>
      </c>
      <c r="AE169" s="236">
        <v>82.964029436606907</v>
      </c>
      <c r="AF169" s="236">
        <v>12.910533919326401</v>
      </c>
      <c r="AG169" s="236">
        <v>51.548686085449503</v>
      </c>
      <c r="AH169" s="236">
        <v>66.125531233960004</v>
      </c>
      <c r="AI169" s="236">
        <v>71.572278429703303</v>
      </c>
      <c r="AJ169" s="236">
        <v>38.638152166123099</v>
      </c>
      <c r="AK169" s="236">
        <v>58.661744510376899</v>
      </c>
      <c r="AL169" s="236">
        <v>31.4153433511574</v>
      </c>
      <c r="AM169" s="233">
        <v>11.391751006903601</v>
      </c>
    </row>
    <row r="170" spans="1:39">
      <c r="A170" s="233" t="s">
        <v>642</v>
      </c>
      <c r="B170" s="234">
        <v>807</v>
      </c>
      <c r="C170" s="233" t="s">
        <v>643</v>
      </c>
      <c r="D170" s="233" t="s">
        <v>644</v>
      </c>
      <c r="E170" s="233" t="s">
        <v>642</v>
      </c>
      <c r="F170" s="235">
        <v>1042.1310000000001</v>
      </c>
      <c r="G170" s="235">
        <v>1041.249</v>
      </c>
      <c r="H170" s="235">
        <f t="shared" si="2"/>
        <v>2083.38</v>
      </c>
      <c r="I170" s="233">
        <v>2.3896969989851602</v>
      </c>
      <c r="J170" s="233">
        <v>5.7131397090803597</v>
      </c>
      <c r="K170" s="233">
        <v>17.453824964963999</v>
      </c>
      <c r="L170" s="233">
        <v>31.6676170685739</v>
      </c>
      <c r="M170" s="233">
        <v>6.7345479147537803</v>
      </c>
      <c r="N170" s="233">
        <v>11.7406852558836</v>
      </c>
      <c r="O170" s="233">
        <v>82.546175035036001</v>
      </c>
      <c r="P170" s="233">
        <v>14.213792103609901</v>
      </c>
      <c r="Q170" s="233">
        <v>52.432030155124899</v>
      </c>
      <c r="R170" s="233">
        <v>65.781761948484998</v>
      </c>
      <c r="S170" s="233">
        <v>71.831730536896501</v>
      </c>
      <c r="T170" s="233">
        <v>38.218238051515002</v>
      </c>
      <c r="U170" s="233">
        <v>57.617938433286596</v>
      </c>
      <c r="V170" s="233">
        <v>61.604697240612801</v>
      </c>
      <c r="W170" s="233">
        <v>30.114144879911098</v>
      </c>
      <c r="X170" s="233">
        <v>10.7144444981395</v>
      </c>
      <c r="Y170" s="233">
        <v>2.2524365229837402</v>
      </c>
      <c r="Z170" s="233">
        <v>5.3869360406130298</v>
      </c>
      <c r="AA170" s="233">
        <v>16.456745190423899</v>
      </c>
      <c r="AB170" s="233">
        <v>29.8875362496563</v>
      </c>
      <c r="AC170" s="233">
        <v>6.3492823837448302</v>
      </c>
      <c r="AD170" s="233">
        <v>11.0698091498108</v>
      </c>
      <c r="AE170" s="233">
        <v>83.543254809576098</v>
      </c>
      <c r="AF170" s="233">
        <v>13.4307910592324</v>
      </c>
      <c r="AG170" s="233">
        <v>49.991712995651497</v>
      </c>
      <c r="AH170" s="233">
        <v>63.283109935495503</v>
      </c>
      <c r="AI170" s="233">
        <v>69.626165090539104</v>
      </c>
      <c r="AJ170" s="233">
        <v>36.560921936419</v>
      </c>
      <c r="AK170" s="233">
        <v>56.195374031306699</v>
      </c>
      <c r="AL170" s="233">
        <v>33.5515418139247</v>
      </c>
      <c r="AM170" s="236">
        <v>13.917089719037</v>
      </c>
    </row>
    <row r="171" spans="1:39">
      <c r="A171" s="236" t="s">
        <v>645</v>
      </c>
      <c r="B171" s="237">
        <v>626</v>
      </c>
      <c r="C171" s="236" t="s">
        <v>646</v>
      </c>
      <c r="D171" s="236" t="s">
        <v>243</v>
      </c>
      <c r="E171" s="236" t="s">
        <v>244</v>
      </c>
      <c r="F171" s="238">
        <v>666.24199999999985</v>
      </c>
      <c r="G171" s="238">
        <v>652.19999999999993</v>
      </c>
      <c r="H171" s="235">
        <f t="shared" si="2"/>
        <v>1318.4419999999998</v>
      </c>
      <c r="I171" s="236">
        <v>8.0143224513068194</v>
      </c>
      <c r="J171" s="236">
        <v>17.273714079588</v>
      </c>
      <c r="K171" s="236">
        <v>42.652845124365598</v>
      </c>
      <c r="L171" s="236">
        <v>62.545692708948003</v>
      </c>
      <c r="M171" s="236">
        <v>15.2171058209062</v>
      </c>
      <c r="N171" s="236">
        <v>25.379131044777601</v>
      </c>
      <c r="O171" s="236">
        <v>57.347154875634402</v>
      </c>
      <c r="P171" s="236">
        <v>19.892847584582402</v>
      </c>
      <c r="Q171" s="236">
        <v>45.186203503149201</v>
      </c>
      <c r="R171" s="236">
        <v>50.553299433318998</v>
      </c>
      <c r="S171" s="236">
        <v>52.141801576866001</v>
      </c>
      <c r="T171" s="236">
        <v>25.2933559185668</v>
      </c>
      <c r="U171" s="236">
        <v>32.248953992283603</v>
      </c>
      <c r="V171" s="236">
        <v>35.055429681850697</v>
      </c>
      <c r="W171" s="236">
        <v>12.160951372485099</v>
      </c>
      <c r="X171" s="236">
        <v>5.2053532987683901</v>
      </c>
      <c r="Y171" s="236">
        <v>7.9865636016954999</v>
      </c>
      <c r="Z171" s="236">
        <v>17.1158040576688</v>
      </c>
      <c r="AA171" s="236">
        <v>42.1615865786911</v>
      </c>
      <c r="AB171" s="236">
        <v>61.800401925952301</v>
      </c>
      <c r="AC171" s="236">
        <v>14.9671120317151</v>
      </c>
      <c r="AD171" s="236">
        <v>25.0457825210222</v>
      </c>
      <c r="AE171" s="236">
        <v>57.8384134213089</v>
      </c>
      <c r="AF171" s="236">
        <v>19.6388153472613</v>
      </c>
      <c r="AG171" s="236">
        <v>44.944032154076197</v>
      </c>
      <c r="AH171" s="236">
        <v>50.232684947667302</v>
      </c>
      <c r="AI171" s="236">
        <v>51.871767788309903</v>
      </c>
      <c r="AJ171" s="236">
        <v>25.305216806814901</v>
      </c>
      <c r="AK171" s="236">
        <v>32.232952441048603</v>
      </c>
      <c r="AL171" s="236">
        <v>12.894381267232699</v>
      </c>
      <c r="AM171" s="233">
        <v>5.9666456329990796</v>
      </c>
    </row>
    <row r="172" spans="1:39">
      <c r="A172" s="233" t="s">
        <v>647</v>
      </c>
      <c r="B172" s="234">
        <v>768</v>
      </c>
      <c r="C172" s="233" t="s">
        <v>648</v>
      </c>
      <c r="D172" s="233" t="s">
        <v>123</v>
      </c>
      <c r="E172" s="233" t="s">
        <v>124</v>
      </c>
      <c r="F172" s="235">
        <v>4119.4039999999995</v>
      </c>
      <c r="G172" s="235">
        <v>4159.3330000000005</v>
      </c>
      <c r="H172" s="235">
        <f t="shared" si="2"/>
        <v>8278.737000000001</v>
      </c>
      <c r="I172" s="233">
        <v>6.6475113567251602</v>
      </c>
      <c r="J172" s="233">
        <v>16.127616480031701</v>
      </c>
      <c r="K172" s="233">
        <v>42.871523193487597</v>
      </c>
      <c r="L172" s="233">
        <v>62.648808080696099</v>
      </c>
      <c r="M172" s="233">
        <v>16.977109219901401</v>
      </c>
      <c r="N172" s="233">
        <v>26.7439067134559</v>
      </c>
      <c r="O172" s="233">
        <v>57.128476806512403</v>
      </c>
      <c r="P172" s="233">
        <v>19.777284887208602</v>
      </c>
      <c r="Q172" s="233">
        <v>48.459322905049603</v>
      </c>
      <c r="R172" s="233">
        <v>53.060448672035498</v>
      </c>
      <c r="S172" s="233">
        <v>54.619288214912601</v>
      </c>
      <c r="T172" s="233">
        <v>28.682038017840998</v>
      </c>
      <c r="U172" s="233">
        <v>34.842003327703999</v>
      </c>
      <c r="V172" s="233">
        <v>35.985641829876997</v>
      </c>
      <c r="W172" s="233">
        <v>8.6691539014628294</v>
      </c>
      <c r="X172" s="233">
        <v>2.50918859159983</v>
      </c>
      <c r="Y172" s="233">
        <v>6.4318250144839002</v>
      </c>
      <c r="Z172" s="233">
        <v>15.6397147544719</v>
      </c>
      <c r="AA172" s="233">
        <v>41.621514697808102</v>
      </c>
      <c r="AB172" s="233">
        <v>60.8641143796359</v>
      </c>
      <c r="AC172" s="233">
        <v>16.507936851556298</v>
      </c>
      <c r="AD172" s="233">
        <v>25.981799943336199</v>
      </c>
      <c r="AE172" s="233">
        <v>58.378485302191898</v>
      </c>
      <c r="AF172" s="233">
        <v>19.242599681827802</v>
      </c>
      <c r="AG172" s="233">
        <v>48.298395635969598</v>
      </c>
      <c r="AH172" s="233">
        <v>53.551051378128399</v>
      </c>
      <c r="AI172" s="233">
        <v>55.364102608508801</v>
      </c>
      <c r="AJ172" s="233">
        <v>29.0557959541419</v>
      </c>
      <c r="AK172" s="233">
        <v>36.121502926681003</v>
      </c>
      <c r="AL172" s="233">
        <v>10.0800896662223</v>
      </c>
      <c r="AM172" s="236">
        <v>3.01438269368307</v>
      </c>
    </row>
    <row r="173" spans="1:39">
      <c r="A173" s="236" t="s">
        <v>649</v>
      </c>
      <c r="B173" s="237">
        <v>776</v>
      </c>
      <c r="C173" s="236" t="s">
        <v>650</v>
      </c>
      <c r="D173" s="236" t="s">
        <v>651</v>
      </c>
      <c r="E173" s="236" t="s">
        <v>652</v>
      </c>
      <c r="F173" s="238">
        <v>52.904000000000018</v>
      </c>
      <c r="G173" s="238">
        <v>52.793000000000006</v>
      </c>
      <c r="H173" s="235">
        <f t="shared" si="2"/>
        <v>105.69700000000003</v>
      </c>
      <c r="I173" s="236">
        <v>4.8780029677492101</v>
      </c>
      <c r="J173" s="236">
        <v>12.4288585435489</v>
      </c>
      <c r="K173" s="236">
        <v>37.9496233963824</v>
      </c>
      <c r="L173" s="236">
        <v>58.560453802663503</v>
      </c>
      <c r="M173" s="236">
        <v>15.479253930389399</v>
      </c>
      <c r="N173" s="236">
        <v>25.520764852833501</v>
      </c>
      <c r="O173" s="236">
        <v>62.0503766036176</v>
      </c>
      <c r="P173" s="236">
        <v>20.610830406281099</v>
      </c>
      <c r="Q173" s="236">
        <v>48.214654670448397</v>
      </c>
      <c r="R173" s="236">
        <v>55.156933826706002</v>
      </c>
      <c r="S173" s="236">
        <v>57.230601626627099</v>
      </c>
      <c r="T173" s="236">
        <v>27.603824264167201</v>
      </c>
      <c r="U173" s="236">
        <v>36.619771220346003</v>
      </c>
      <c r="V173" s="236">
        <v>38.208831871372503</v>
      </c>
      <c r="W173" s="236">
        <v>13.8357219331693</v>
      </c>
      <c r="X173" s="236">
        <v>4.8197749769905496</v>
      </c>
      <c r="Y173" s="236">
        <v>4.6513385350739602</v>
      </c>
      <c r="Z173" s="236">
        <v>11.8890631199108</v>
      </c>
      <c r="AA173" s="236">
        <v>35.570837505431598</v>
      </c>
      <c r="AB173" s="236">
        <v>54.6655079254123</v>
      </c>
      <c r="AC173" s="236">
        <v>14.5321267310272</v>
      </c>
      <c r="AD173" s="236">
        <v>23.6817743855208</v>
      </c>
      <c r="AE173" s="236">
        <v>64.429162494568402</v>
      </c>
      <c r="AF173" s="236">
        <v>19.094670419980702</v>
      </c>
      <c r="AG173" s="236">
        <v>47.503353422380101</v>
      </c>
      <c r="AH173" s="236">
        <v>55.001794789442798</v>
      </c>
      <c r="AI173" s="236">
        <v>57.495607488995098</v>
      </c>
      <c r="AJ173" s="236">
        <v>28.4086830023993</v>
      </c>
      <c r="AK173" s="236">
        <v>38.400937069014397</v>
      </c>
      <c r="AL173" s="236">
        <v>16.925809072188301</v>
      </c>
      <c r="AM173" s="233">
        <v>6.9335550055732904</v>
      </c>
    </row>
    <row r="174" spans="1:39">
      <c r="A174" s="233" t="s">
        <v>653</v>
      </c>
      <c r="B174" s="234">
        <v>780</v>
      </c>
      <c r="C174" s="233" t="s">
        <v>654</v>
      </c>
      <c r="D174" s="233" t="s">
        <v>655</v>
      </c>
      <c r="E174" s="233" t="s">
        <v>656</v>
      </c>
      <c r="F174" s="235">
        <v>690.94699999999989</v>
      </c>
      <c r="G174" s="235">
        <v>708.54399999999976</v>
      </c>
      <c r="H174" s="235">
        <f t="shared" si="2"/>
        <v>1399.4909999999995</v>
      </c>
      <c r="I174" s="233">
        <v>2.8488194491010801</v>
      </c>
      <c r="J174" s="233">
        <v>7.2735942540810798</v>
      </c>
      <c r="K174" s="233">
        <v>21.355267961584602</v>
      </c>
      <c r="L174" s="233">
        <v>35.126101760581697</v>
      </c>
      <c r="M174" s="233">
        <v>8.6839968111342092</v>
      </c>
      <c r="N174" s="233">
        <v>14.0816737075035</v>
      </c>
      <c r="O174" s="233">
        <v>78.644732038415398</v>
      </c>
      <c r="P174" s="233">
        <v>13.770833798997099</v>
      </c>
      <c r="Q174" s="233">
        <v>52.6858743676285</v>
      </c>
      <c r="R174" s="233">
        <v>65.673349873711999</v>
      </c>
      <c r="S174" s="233">
        <v>70.416862245468195</v>
      </c>
      <c r="T174" s="233">
        <v>38.915040568631397</v>
      </c>
      <c r="U174" s="233">
        <v>56.646028446471</v>
      </c>
      <c r="V174" s="233">
        <v>60.079423619958703</v>
      </c>
      <c r="W174" s="233">
        <v>25.958857670786902</v>
      </c>
      <c r="X174" s="233">
        <v>8.2278697929472404</v>
      </c>
      <c r="Y174" s="233">
        <v>2.6819912250019202</v>
      </c>
      <c r="Z174" s="233">
        <v>6.8636856443295597</v>
      </c>
      <c r="AA174" s="233">
        <v>20.2195055754474</v>
      </c>
      <c r="AB174" s="233">
        <v>33.361973750477098</v>
      </c>
      <c r="AC174" s="233">
        <v>8.2318944910254395</v>
      </c>
      <c r="AD174" s="233">
        <v>13.3558199311179</v>
      </c>
      <c r="AE174" s="233">
        <v>79.7804944245526</v>
      </c>
      <c r="AF174" s="233">
        <v>13.1424681750297</v>
      </c>
      <c r="AG174" s="233">
        <v>51.244189067391602</v>
      </c>
      <c r="AH174" s="233">
        <v>64.344132028452705</v>
      </c>
      <c r="AI174" s="233">
        <v>69.2155186552163</v>
      </c>
      <c r="AJ174" s="233">
        <v>38.101720892361897</v>
      </c>
      <c r="AK174" s="233">
        <v>56.073050480186602</v>
      </c>
      <c r="AL174" s="233">
        <v>28.536305357161002</v>
      </c>
      <c r="AM174" s="236">
        <v>10.5649757693363</v>
      </c>
    </row>
    <row r="175" spans="1:39">
      <c r="A175" s="236" t="s">
        <v>657</v>
      </c>
      <c r="B175" s="237">
        <v>788</v>
      </c>
      <c r="C175" s="236" t="s">
        <v>658</v>
      </c>
      <c r="D175" s="236" t="s">
        <v>659</v>
      </c>
      <c r="E175" s="236" t="s">
        <v>660</v>
      </c>
      <c r="F175" s="238">
        <v>5860.7519999999995</v>
      </c>
      <c r="G175" s="238">
        <v>5957.8660000000018</v>
      </c>
      <c r="H175" s="235">
        <f t="shared" si="2"/>
        <v>11818.618000000002</v>
      </c>
      <c r="I175" s="236">
        <v>3.77474899232794</v>
      </c>
      <c r="J175" s="236">
        <v>9.0335249326345508</v>
      </c>
      <c r="K175" s="236">
        <v>24.176253375015801</v>
      </c>
      <c r="L175" s="236">
        <v>40.250328847697901</v>
      </c>
      <c r="M175" s="236">
        <v>9.3441297876223803</v>
      </c>
      <c r="N175" s="236">
        <v>15.1427284423813</v>
      </c>
      <c r="O175" s="236">
        <v>75.823746624984096</v>
      </c>
      <c r="P175" s="236">
        <v>16.074075472682001</v>
      </c>
      <c r="Q175" s="236">
        <v>53.779037723753497</v>
      </c>
      <c r="R175" s="236">
        <v>64.896616397699404</v>
      </c>
      <c r="S175" s="236">
        <v>68.937644362565905</v>
      </c>
      <c r="T175" s="236">
        <v>37.7049622510715</v>
      </c>
      <c r="U175" s="236">
        <v>52.863568889883901</v>
      </c>
      <c r="V175" s="236">
        <v>55.257921790441998</v>
      </c>
      <c r="W175" s="236">
        <v>22.044708901230599</v>
      </c>
      <c r="X175" s="236">
        <v>6.88610226241821</v>
      </c>
      <c r="Y175" s="236">
        <v>3.5195975595124001</v>
      </c>
      <c r="Z175" s="236">
        <v>8.4282057574665803</v>
      </c>
      <c r="AA175" s="236">
        <v>22.5561351322247</v>
      </c>
      <c r="AB175" s="236">
        <v>37.707680094524903</v>
      </c>
      <c r="AC175" s="236">
        <v>8.7242987181836202</v>
      </c>
      <c r="AD175" s="236">
        <v>14.1279293747581</v>
      </c>
      <c r="AE175" s="236">
        <v>77.443864867775304</v>
      </c>
      <c r="AF175" s="236">
        <v>15.1515449623002</v>
      </c>
      <c r="AG175" s="236">
        <v>54.062499066749403</v>
      </c>
      <c r="AH175" s="236">
        <v>65.043305462006003</v>
      </c>
      <c r="AI175" s="236">
        <v>69.162080636714904</v>
      </c>
      <c r="AJ175" s="236">
        <v>38.910954104449203</v>
      </c>
      <c r="AK175" s="236">
        <v>54.010535674414697</v>
      </c>
      <c r="AL175" s="236">
        <v>23.3813658010259</v>
      </c>
      <c r="AM175" s="233">
        <v>8.2817842310603709</v>
      </c>
    </row>
    <row r="176" spans="1:39">
      <c r="A176" s="233" t="s">
        <v>661</v>
      </c>
      <c r="B176" s="234">
        <v>792</v>
      </c>
      <c r="C176" s="233" t="s">
        <v>662</v>
      </c>
      <c r="D176" s="233" t="s">
        <v>663</v>
      </c>
      <c r="E176" s="233" t="s">
        <v>664</v>
      </c>
      <c r="F176" s="235">
        <v>41636.124999999993</v>
      </c>
      <c r="G176" s="235">
        <v>42702.941999999995</v>
      </c>
      <c r="H176" s="235">
        <f t="shared" si="2"/>
        <v>84339.066999999981</v>
      </c>
      <c r="I176" s="233">
        <v>3.6685871193576798</v>
      </c>
      <c r="J176" s="233">
        <v>9.0270317734949401</v>
      </c>
      <c r="K176" s="233">
        <v>26.664888926214601</v>
      </c>
      <c r="L176" s="233">
        <v>43.786797120029398</v>
      </c>
      <c r="M176" s="233">
        <v>10.562638046165899</v>
      </c>
      <c r="N176" s="233">
        <v>17.6378571527197</v>
      </c>
      <c r="O176" s="233">
        <v>73.335111073785399</v>
      </c>
      <c r="P176" s="233">
        <v>17.1219081938148</v>
      </c>
      <c r="Q176" s="233">
        <v>54.064852757737803</v>
      </c>
      <c r="R176" s="233">
        <v>63.469127329742001</v>
      </c>
      <c r="S176" s="233">
        <v>66.816578297641797</v>
      </c>
      <c r="T176" s="233">
        <v>36.9429445639229</v>
      </c>
      <c r="U176" s="233">
        <v>49.694670103826901</v>
      </c>
      <c r="V176" s="233">
        <v>52.071123649700297</v>
      </c>
      <c r="W176" s="233">
        <v>19.270258316047599</v>
      </c>
      <c r="X176" s="233">
        <v>6.51853277614366</v>
      </c>
      <c r="Y176" s="233">
        <v>3.37253872520371</v>
      </c>
      <c r="Z176" s="233">
        <v>8.3260775827363105</v>
      </c>
      <c r="AA176" s="233">
        <v>24.708866445545102</v>
      </c>
      <c r="AB176" s="233">
        <v>40.784595777258197</v>
      </c>
      <c r="AC176" s="233">
        <v>9.8048528993879298</v>
      </c>
      <c r="AD176" s="233">
        <v>16.382788862808699</v>
      </c>
      <c r="AE176" s="233">
        <v>75.291133554454902</v>
      </c>
      <c r="AF176" s="233">
        <v>16.075729331713099</v>
      </c>
      <c r="AG176" s="233">
        <v>52.535566014060898</v>
      </c>
      <c r="AH176" s="233">
        <v>62.7571273809072</v>
      </c>
      <c r="AI176" s="233">
        <v>66.765859987235203</v>
      </c>
      <c r="AJ176" s="233">
        <v>36.459836682347699</v>
      </c>
      <c r="AK176" s="233">
        <v>50.690130655522097</v>
      </c>
      <c r="AL176" s="233">
        <v>22.7555675403941</v>
      </c>
      <c r="AM176" s="236">
        <v>8.5252735672197204</v>
      </c>
    </row>
    <row r="177" spans="1:39">
      <c r="A177" s="236" t="s">
        <v>665</v>
      </c>
      <c r="B177" s="237">
        <v>795</v>
      </c>
      <c r="C177" s="236" t="s">
        <v>666</v>
      </c>
      <c r="D177" s="236" t="s">
        <v>667</v>
      </c>
      <c r="E177" s="236" t="s">
        <v>668</v>
      </c>
      <c r="F177" s="238">
        <v>2969.3100000000009</v>
      </c>
      <c r="G177" s="238">
        <v>3061.8770000000004</v>
      </c>
      <c r="H177" s="235">
        <f t="shared" si="2"/>
        <v>6031.1870000000017</v>
      </c>
      <c r="I177" s="236">
        <v>4.1938405865704098</v>
      </c>
      <c r="J177" s="236">
        <v>10.1472485009691</v>
      </c>
      <c r="K177" s="236">
        <v>29.121492509957601</v>
      </c>
      <c r="L177" s="236">
        <v>48.651913541303003</v>
      </c>
      <c r="M177" s="236">
        <v>11.4485292948174</v>
      </c>
      <c r="N177" s="236">
        <v>18.974244008988499</v>
      </c>
      <c r="O177" s="236">
        <v>70.878507490042495</v>
      </c>
      <c r="P177" s="236">
        <v>19.530421031345401</v>
      </c>
      <c r="Q177" s="236">
        <v>56.478381160189699</v>
      </c>
      <c r="R177" s="236">
        <v>65.013560767461399</v>
      </c>
      <c r="S177" s="236">
        <v>67.4676014671834</v>
      </c>
      <c r="T177" s="236">
        <v>36.947960128844301</v>
      </c>
      <c r="U177" s="236">
        <v>47.937180435838002</v>
      </c>
      <c r="V177" s="236">
        <v>49.344266268187397</v>
      </c>
      <c r="W177" s="236">
        <v>14.4001263298527</v>
      </c>
      <c r="X177" s="236">
        <v>3.4109060228590402</v>
      </c>
      <c r="Y177" s="236">
        <v>3.9205634083188099</v>
      </c>
      <c r="Z177" s="236">
        <v>9.50557597420371</v>
      </c>
      <c r="AA177" s="236">
        <v>27.356780381704301</v>
      </c>
      <c r="AB177" s="236">
        <v>45.874628036633503</v>
      </c>
      <c r="AC177" s="236">
        <v>10.7695561615283</v>
      </c>
      <c r="AD177" s="236">
        <v>17.8512044075006</v>
      </c>
      <c r="AE177" s="236">
        <v>72.643219618295703</v>
      </c>
      <c r="AF177" s="236">
        <v>18.517847654929199</v>
      </c>
      <c r="AG177" s="236">
        <v>55.144182002608297</v>
      </c>
      <c r="AH177" s="236">
        <v>64.818925378989107</v>
      </c>
      <c r="AI177" s="236">
        <v>67.769054111613201</v>
      </c>
      <c r="AJ177" s="236">
        <v>36.626334347679098</v>
      </c>
      <c r="AK177" s="236">
        <v>49.251206456683903</v>
      </c>
      <c r="AL177" s="236">
        <v>17.499037615687399</v>
      </c>
      <c r="AM177" s="233">
        <v>4.8741655066825302</v>
      </c>
    </row>
    <row r="178" spans="1:39">
      <c r="A178" s="236" t="s">
        <v>669</v>
      </c>
      <c r="B178" s="237">
        <v>800</v>
      </c>
      <c r="C178" s="236" t="s">
        <v>670</v>
      </c>
      <c r="D178" s="236" t="s">
        <v>671</v>
      </c>
      <c r="E178" s="236" t="s">
        <v>672</v>
      </c>
      <c r="F178" s="238">
        <v>22546.589000000004</v>
      </c>
      <c r="G178" s="238">
        <v>23194.410999999996</v>
      </c>
      <c r="H178" s="235">
        <f t="shared" si="2"/>
        <v>45741</v>
      </c>
      <c r="I178" s="236">
        <v>7.8850564648561603</v>
      </c>
      <c r="J178" s="236">
        <v>18.8361176588433</v>
      </c>
      <c r="K178" s="236">
        <v>48.503438067771803</v>
      </c>
      <c r="L178" s="236">
        <v>68.851527371104098</v>
      </c>
      <c r="M178" s="236">
        <v>19.002215492164002</v>
      </c>
      <c r="N178" s="236">
        <v>29.667320408928401</v>
      </c>
      <c r="O178" s="236">
        <v>51.496561932228197</v>
      </c>
      <c r="P178" s="236">
        <v>20.348089303332301</v>
      </c>
      <c r="Q178" s="236">
        <v>44.929328065802203</v>
      </c>
      <c r="R178" s="236">
        <v>48.173005854562803</v>
      </c>
      <c r="S178" s="236">
        <v>49.298273691868701</v>
      </c>
      <c r="T178" s="236">
        <v>24.581238762469901</v>
      </c>
      <c r="U178" s="236">
        <v>28.9501843885363</v>
      </c>
      <c r="V178" s="236">
        <v>29.834802348140801</v>
      </c>
      <c r="W178" s="236">
        <v>6.5672338664259904</v>
      </c>
      <c r="X178" s="236">
        <v>2.1982882403595201</v>
      </c>
      <c r="Y178" s="236">
        <v>7.7188843855928804</v>
      </c>
      <c r="Z178" s="236">
        <v>18.455760131583801</v>
      </c>
      <c r="AA178" s="236">
        <v>47.678254850589298</v>
      </c>
      <c r="AB178" s="236">
        <v>67.922590313392405</v>
      </c>
      <c r="AC178" s="236">
        <v>18.688746161691999</v>
      </c>
      <c r="AD178" s="236">
        <v>29.2224947190055</v>
      </c>
      <c r="AE178" s="236">
        <v>52.321745149410802</v>
      </c>
      <c r="AF178" s="236">
        <v>20.2443354628031</v>
      </c>
      <c r="AG178" s="236">
        <v>44.550876674534301</v>
      </c>
      <c r="AH178" s="236">
        <v>48.093185193190003</v>
      </c>
      <c r="AI178" s="236">
        <v>49.542522088756598</v>
      </c>
      <c r="AJ178" s="236">
        <v>24.306541211731201</v>
      </c>
      <c r="AK178" s="236">
        <v>29.298186625953502</v>
      </c>
      <c r="AL178" s="236">
        <v>7.7708684748764503</v>
      </c>
      <c r="AM178" s="233">
        <v>2.7792230606541599</v>
      </c>
    </row>
    <row r="179" spans="1:39">
      <c r="A179" s="233" t="s">
        <v>673</v>
      </c>
      <c r="B179" s="234">
        <v>804</v>
      </c>
      <c r="C179" s="233" t="s">
        <v>674</v>
      </c>
      <c r="D179" s="233" t="s">
        <v>675</v>
      </c>
      <c r="E179" s="233" t="s">
        <v>676</v>
      </c>
      <c r="F179" s="235">
        <v>20263.148000000001</v>
      </c>
      <c r="G179" s="235">
        <v>23470.610999999997</v>
      </c>
      <c r="H179" s="235">
        <f t="shared" si="2"/>
        <v>43733.758999999998</v>
      </c>
      <c r="I179" s="233">
        <v>2.2543574967210001</v>
      </c>
      <c r="J179" s="233">
        <v>6.1108569825441901</v>
      </c>
      <c r="K179" s="233">
        <v>16.599167914133901</v>
      </c>
      <c r="L179" s="233">
        <v>28.663324308664901</v>
      </c>
      <c r="M179" s="233">
        <v>6.9278075335139802</v>
      </c>
      <c r="N179" s="233">
        <v>10.4883109315897</v>
      </c>
      <c r="O179" s="233">
        <v>83.400832085866099</v>
      </c>
      <c r="P179" s="233">
        <v>12.064156394530899</v>
      </c>
      <c r="Q179" s="233">
        <v>51.692698573696497</v>
      </c>
      <c r="R179" s="233">
        <v>65.852296473365598</v>
      </c>
      <c r="S179" s="233">
        <v>72.332186350701207</v>
      </c>
      <c r="T179" s="233">
        <v>39.6285421791655</v>
      </c>
      <c r="U179" s="233">
        <v>60.268029956170203</v>
      </c>
      <c r="V179" s="233">
        <v>63.713245799636901</v>
      </c>
      <c r="W179" s="233">
        <v>31.708133512169599</v>
      </c>
      <c r="X179" s="233">
        <v>11.0686457351649</v>
      </c>
      <c r="Y179" s="233">
        <v>1.82028874307903</v>
      </c>
      <c r="Z179" s="233">
        <v>4.9546530806604601</v>
      </c>
      <c r="AA179" s="233">
        <v>13.485635131342899</v>
      </c>
      <c r="AB179" s="233">
        <v>23.391666741812301</v>
      </c>
      <c r="AC179" s="233">
        <v>5.6369772255403801</v>
      </c>
      <c r="AD179" s="233">
        <v>8.5309820506824803</v>
      </c>
      <c r="AE179" s="233">
        <v>86.514364868657097</v>
      </c>
      <c r="AF179" s="233">
        <v>9.9060316104694</v>
      </c>
      <c r="AG179" s="233">
        <v>44.748673858849102</v>
      </c>
      <c r="AH179" s="233">
        <v>59.607600764433101</v>
      </c>
      <c r="AI179" s="233">
        <v>67.552608589072094</v>
      </c>
      <c r="AJ179" s="233">
        <v>34.842642248379804</v>
      </c>
      <c r="AK179" s="233">
        <v>57.646576978602702</v>
      </c>
      <c r="AL179" s="233">
        <v>41.765691009807902</v>
      </c>
      <c r="AM179" s="236">
        <v>18.961756279585</v>
      </c>
    </row>
    <row r="180" spans="1:39">
      <c r="A180" s="236" t="s">
        <v>677</v>
      </c>
      <c r="B180" s="237">
        <v>784</v>
      </c>
      <c r="C180" s="236" t="s">
        <v>678</v>
      </c>
      <c r="D180" s="236" t="s">
        <v>679</v>
      </c>
      <c r="E180" s="236" t="s">
        <v>680</v>
      </c>
      <c r="F180" s="238">
        <v>6836.3490000000002</v>
      </c>
      <c r="G180" s="238">
        <v>3054.050999999999</v>
      </c>
      <c r="H180" s="235">
        <f t="shared" si="2"/>
        <v>9890.4</v>
      </c>
      <c r="I180" s="236">
        <v>1.4672218830050601</v>
      </c>
      <c r="J180" s="236">
        <v>3.7393623618418901</v>
      </c>
      <c r="K180" s="236">
        <v>9.7241816651004402</v>
      </c>
      <c r="L180" s="236">
        <v>21.006950241612699</v>
      </c>
      <c r="M180" s="236">
        <v>3.8393883596571201</v>
      </c>
      <c r="N180" s="236">
        <v>5.9848193032585497</v>
      </c>
      <c r="O180" s="236">
        <v>90.275818334899597</v>
      </c>
      <c r="P180" s="236">
        <v>11.2827685765123</v>
      </c>
      <c r="Q180" s="236">
        <v>78.919215366855397</v>
      </c>
      <c r="R180" s="236">
        <v>87.777523696173802</v>
      </c>
      <c r="S180" s="236">
        <v>89.123626170498</v>
      </c>
      <c r="T180" s="236">
        <v>67.636446790343101</v>
      </c>
      <c r="U180" s="236">
        <v>77.840857593985703</v>
      </c>
      <c r="V180" s="236">
        <v>78.530425791740797</v>
      </c>
      <c r="W180" s="236">
        <v>11.3566029680442</v>
      </c>
      <c r="X180" s="236">
        <v>1.1521921644016</v>
      </c>
      <c r="Y180" s="236">
        <v>3.9535967349299002</v>
      </c>
      <c r="Z180" s="236">
        <v>9.8214282068046508</v>
      </c>
      <c r="AA180" s="236">
        <v>25.479814449013301</v>
      </c>
      <c r="AB180" s="236">
        <v>42.065302218681097</v>
      </c>
      <c r="AC180" s="236">
        <v>10.1527867564392</v>
      </c>
      <c r="AD180" s="236">
        <v>15.6583862422086</v>
      </c>
      <c r="AE180" s="236">
        <v>74.520185550986696</v>
      </c>
      <c r="AF180" s="236">
        <v>16.5854877696678</v>
      </c>
      <c r="AG180" s="236">
        <v>67.346807927612403</v>
      </c>
      <c r="AH180" s="236">
        <v>72.577568488185804</v>
      </c>
      <c r="AI180" s="236">
        <v>73.421524094144402</v>
      </c>
      <c r="AJ180" s="236">
        <v>50.761320157944603</v>
      </c>
      <c r="AK180" s="236">
        <v>56.836036324476602</v>
      </c>
      <c r="AL180" s="236">
        <v>7.1733776233743001</v>
      </c>
      <c r="AM180" s="233">
        <v>1.0986614568423301</v>
      </c>
    </row>
    <row r="181" spans="1:39">
      <c r="A181" s="233" t="s">
        <v>681</v>
      </c>
      <c r="B181" s="234">
        <v>826</v>
      </c>
      <c r="C181" s="233" t="s">
        <v>682</v>
      </c>
      <c r="D181" s="233" t="s">
        <v>683</v>
      </c>
      <c r="E181" s="233" t="s">
        <v>684</v>
      </c>
      <c r="F181" s="235">
        <v>33542.414999999994</v>
      </c>
      <c r="G181" s="235">
        <v>34343.588999999993</v>
      </c>
      <c r="H181" s="235">
        <f t="shared" si="2"/>
        <v>67886.003999999986</v>
      </c>
      <c r="I181" s="233">
        <v>2.4973201013185702</v>
      </c>
      <c r="J181" s="233">
        <v>6.5137071558702599</v>
      </c>
      <c r="K181" s="233">
        <v>18.453029622559502</v>
      </c>
      <c r="L181" s="233">
        <v>31.237110325301501</v>
      </c>
      <c r="M181" s="233">
        <v>7.5329871905952999</v>
      </c>
      <c r="N181" s="233">
        <v>11.939322466689299</v>
      </c>
      <c r="O181" s="233">
        <v>81.546970377440502</v>
      </c>
      <c r="P181" s="233">
        <v>12.7840807027419</v>
      </c>
      <c r="Q181" s="233">
        <v>46.846371974890197</v>
      </c>
      <c r="R181" s="233">
        <v>60.045702954807297</v>
      </c>
      <c r="S181" s="233">
        <v>65.263183700196905</v>
      </c>
      <c r="T181" s="233">
        <v>34.062291272148201</v>
      </c>
      <c r="U181" s="233">
        <v>52.479102997455001</v>
      </c>
      <c r="V181" s="233">
        <v>58.045815436254003</v>
      </c>
      <c r="W181" s="233">
        <v>34.700598402550298</v>
      </c>
      <c r="X181" s="233">
        <v>16.283786677243501</v>
      </c>
      <c r="Y181" s="233">
        <v>2.3084194588596398</v>
      </c>
      <c r="Z181" s="233">
        <v>6.0327024693380498</v>
      </c>
      <c r="AA181" s="233">
        <v>17.114413361572201</v>
      </c>
      <c r="AB181" s="233">
        <v>29.093293593216401</v>
      </c>
      <c r="AC181" s="233">
        <v>6.9947310582347999</v>
      </c>
      <c r="AD181" s="233">
        <v>11.081710892234099</v>
      </c>
      <c r="AE181" s="233">
        <v>82.885586638427796</v>
      </c>
      <c r="AF181" s="233">
        <v>11.9788802316443</v>
      </c>
      <c r="AG181" s="233">
        <v>45.215995774900598</v>
      </c>
      <c r="AH181" s="233">
        <v>58.4159546013897</v>
      </c>
      <c r="AI181" s="233">
        <v>63.6899668759227</v>
      </c>
      <c r="AJ181" s="233">
        <v>33.237115543256301</v>
      </c>
      <c r="AK181" s="233">
        <v>51.711086644278403</v>
      </c>
      <c r="AL181" s="233">
        <v>37.669590863527198</v>
      </c>
      <c r="AM181" s="236">
        <v>19.1956197625051</v>
      </c>
    </row>
    <row r="182" spans="1:39">
      <c r="A182" s="236" t="s">
        <v>685</v>
      </c>
      <c r="B182" s="237">
        <v>834</v>
      </c>
      <c r="C182" s="236" t="s">
        <v>686</v>
      </c>
      <c r="D182" s="236" t="s">
        <v>687</v>
      </c>
      <c r="E182" s="236" t="s">
        <v>688</v>
      </c>
      <c r="F182" s="238">
        <v>29851.108</v>
      </c>
      <c r="G182" s="238">
        <v>29883.105000000007</v>
      </c>
      <c r="H182" s="235">
        <f t="shared" si="2"/>
        <v>59734.213000000003</v>
      </c>
      <c r="I182" s="236">
        <v>7.4645019831429904</v>
      </c>
      <c r="J182" s="236">
        <v>17.886259813125001</v>
      </c>
      <c r="K182" s="236">
        <v>45.710451602531798</v>
      </c>
      <c r="L182" s="236">
        <v>64.892884388639501</v>
      </c>
      <c r="M182" s="236">
        <v>17.9316120191775</v>
      </c>
      <c r="N182" s="236">
        <v>27.8241917894068</v>
      </c>
      <c r="O182" s="236">
        <v>54.289548397468202</v>
      </c>
      <c r="P182" s="236">
        <v>19.1824327861077</v>
      </c>
      <c r="Q182" s="236">
        <v>45.301066284853199</v>
      </c>
      <c r="R182" s="236">
        <v>49.813550578377999</v>
      </c>
      <c r="S182" s="236">
        <v>51.296430741495399</v>
      </c>
      <c r="T182" s="236">
        <v>26.118633498745499</v>
      </c>
      <c r="U182" s="236">
        <v>32.113997955387703</v>
      </c>
      <c r="V182" s="236">
        <v>33.311842589160896</v>
      </c>
      <c r="W182" s="236">
        <v>8.9884821126150296</v>
      </c>
      <c r="X182" s="236">
        <v>2.9931176559728101</v>
      </c>
      <c r="Y182" s="236">
        <v>7.2513693296845902</v>
      </c>
      <c r="Z182" s="236">
        <v>17.271272149373999</v>
      </c>
      <c r="AA182" s="236">
        <v>44.6930604183366</v>
      </c>
      <c r="AB182" s="236">
        <v>63.880001735561898</v>
      </c>
      <c r="AC182" s="236">
        <v>17.488462770692198</v>
      </c>
      <c r="AD182" s="236">
        <v>27.421788268962601</v>
      </c>
      <c r="AE182" s="236">
        <v>55.3069395816634</v>
      </c>
      <c r="AF182" s="236">
        <v>19.186941317225301</v>
      </c>
      <c r="AG182" s="236">
        <v>45.753935622626699</v>
      </c>
      <c r="AH182" s="236">
        <v>50.242865262435501</v>
      </c>
      <c r="AI182" s="236">
        <v>51.898620284085602</v>
      </c>
      <c r="AJ182" s="236">
        <v>26.566994305401401</v>
      </c>
      <c r="AK182" s="236">
        <v>32.711678966860298</v>
      </c>
      <c r="AL182" s="236">
        <v>9.5530039590367295</v>
      </c>
      <c r="AM182" s="233">
        <v>3.40831929757781</v>
      </c>
    </row>
    <row r="183" spans="1:39">
      <c r="A183" s="233" t="s">
        <v>689</v>
      </c>
      <c r="B183" s="234">
        <v>840</v>
      </c>
      <c r="C183" s="233" t="s">
        <v>690</v>
      </c>
      <c r="D183" s="233" t="s">
        <v>243</v>
      </c>
      <c r="E183" s="233" t="s">
        <v>244</v>
      </c>
      <c r="F183" s="235">
        <v>163786.016</v>
      </c>
      <c r="G183" s="235">
        <v>167216.63099999999</v>
      </c>
      <c r="H183" s="235">
        <f t="shared" si="2"/>
        <v>331002.647</v>
      </c>
      <c r="I183" s="233">
        <v>2.4589173300133602</v>
      </c>
      <c r="J183" s="233">
        <v>6.3142559572796397</v>
      </c>
      <c r="K183" s="233">
        <v>19.523088337267499</v>
      </c>
      <c r="L183" s="233">
        <v>33.726462372461803</v>
      </c>
      <c r="M183" s="233">
        <v>7.9262674908710498</v>
      </c>
      <c r="N183" s="233">
        <v>13.2088323799879</v>
      </c>
      <c r="O183" s="233">
        <v>80.476911662732505</v>
      </c>
      <c r="P183" s="233">
        <v>14.203374035194299</v>
      </c>
      <c r="Q183" s="233">
        <v>47.514822083460402</v>
      </c>
      <c r="R183" s="233">
        <v>61.486940693834697</v>
      </c>
      <c r="S183" s="233">
        <v>67.227245713393799</v>
      </c>
      <c r="T183" s="233">
        <v>33.311448048266101</v>
      </c>
      <c r="U183" s="233">
        <v>53.023871678199498</v>
      </c>
      <c r="V183" s="233">
        <v>57.805585662617602</v>
      </c>
      <c r="W183" s="233">
        <v>32.962089579272103</v>
      </c>
      <c r="X183" s="233">
        <v>13.2496659493388</v>
      </c>
      <c r="Y183" s="233">
        <v>2.3086715893683398</v>
      </c>
      <c r="Z183" s="233">
        <v>5.9344573376786096</v>
      </c>
      <c r="AA183" s="233">
        <v>18.387435867811501</v>
      </c>
      <c r="AB183" s="233">
        <v>31.5478028607358</v>
      </c>
      <c r="AC183" s="233">
        <v>7.4769340291329698</v>
      </c>
      <c r="AD183" s="233">
        <v>12.452978530132899</v>
      </c>
      <c r="AE183" s="233">
        <v>81.612564132188496</v>
      </c>
      <c r="AF183" s="233">
        <v>13.1603669929242</v>
      </c>
      <c r="AG183" s="233">
        <v>45.226666113876803</v>
      </c>
      <c r="AH183" s="233">
        <v>59.270394115883498</v>
      </c>
      <c r="AI183" s="233">
        <v>65.316469125105698</v>
      </c>
      <c r="AJ183" s="233">
        <v>32.0662991209525</v>
      </c>
      <c r="AK183" s="233">
        <v>52.156102132181402</v>
      </c>
      <c r="AL183" s="233">
        <v>36.3858980183117</v>
      </c>
      <c r="AM183" s="236">
        <v>16.296095007082801</v>
      </c>
    </row>
    <row r="184" spans="1:39">
      <c r="A184" s="236" t="s">
        <v>691</v>
      </c>
      <c r="B184" s="237">
        <v>858</v>
      </c>
      <c r="C184" s="236" t="s">
        <v>692</v>
      </c>
      <c r="D184" s="236" t="s">
        <v>693</v>
      </c>
      <c r="E184" s="236" t="s">
        <v>694</v>
      </c>
      <c r="F184" s="238">
        <v>1678.336</v>
      </c>
      <c r="G184" s="238">
        <v>1795.3909999999998</v>
      </c>
      <c r="H184" s="235">
        <f t="shared" si="2"/>
        <v>3473.7269999999999</v>
      </c>
      <c r="I184" s="236">
        <v>2.9481423256111601</v>
      </c>
      <c r="J184" s="236">
        <v>7.4199513523009903</v>
      </c>
      <c r="K184" s="236">
        <v>22.664345969781401</v>
      </c>
      <c r="L184" s="236">
        <v>38.6364034269521</v>
      </c>
      <c r="M184" s="236">
        <v>9.0781267073935705</v>
      </c>
      <c r="N184" s="236">
        <v>15.244394617480401</v>
      </c>
      <c r="O184" s="236">
        <v>77.335654030218606</v>
      </c>
      <c r="P184" s="236">
        <v>15.9720574571706</v>
      </c>
      <c r="Q184" s="236">
        <v>49.9457558233252</v>
      </c>
      <c r="R184" s="236">
        <v>61.175719135305002</v>
      </c>
      <c r="S184" s="236">
        <v>65.757223953890303</v>
      </c>
      <c r="T184" s="236">
        <v>33.973698366154501</v>
      </c>
      <c r="U184" s="236">
        <v>49.785166496719697</v>
      </c>
      <c r="V184" s="236">
        <v>53.586605642722503</v>
      </c>
      <c r="W184" s="236">
        <v>27.389898206893399</v>
      </c>
      <c r="X184" s="236">
        <v>11.5784300763282</v>
      </c>
      <c r="Y184" s="236">
        <v>2.6461336355790701</v>
      </c>
      <c r="Z184" s="236">
        <v>6.6392474802214601</v>
      </c>
      <c r="AA184" s="236">
        <v>20.249206266942199</v>
      </c>
      <c r="AB184" s="236">
        <v>34.617915270545197</v>
      </c>
      <c r="AC184" s="236">
        <v>8.0920212082769094</v>
      </c>
      <c r="AD184" s="236">
        <v>13.6099587867207</v>
      </c>
      <c r="AE184" s="236">
        <v>79.750793733057805</v>
      </c>
      <c r="AF184" s="236">
        <v>14.368709003603101</v>
      </c>
      <c r="AG184" s="236">
        <v>46.374628483355799</v>
      </c>
      <c r="AH184" s="236">
        <v>57.829227403112803</v>
      </c>
      <c r="AI184" s="236">
        <v>62.651282478835697</v>
      </c>
      <c r="AJ184" s="236">
        <v>32.005919479752798</v>
      </c>
      <c r="AK184" s="236">
        <v>48.282573475232603</v>
      </c>
      <c r="AL184" s="236">
        <v>33.376165249701998</v>
      </c>
      <c r="AM184" s="233">
        <v>17.0995112542222</v>
      </c>
    </row>
    <row r="185" spans="1:39">
      <c r="A185" s="233" t="s">
        <v>695</v>
      </c>
      <c r="B185" s="234">
        <v>860</v>
      </c>
      <c r="C185" s="233" t="s">
        <v>696</v>
      </c>
      <c r="D185" s="233" t="s">
        <v>697</v>
      </c>
      <c r="E185" s="233" t="s">
        <v>698</v>
      </c>
      <c r="F185" s="235">
        <v>16696.917999999998</v>
      </c>
      <c r="G185" s="235">
        <v>16772.281000000003</v>
      </c>
      <c r="H185" s="235">
        <f t="shared" si="2"/>
        <v>33469.199000000001</v>
      </c>
      <c r="I185" s="233">
        <v>4.52321066750262</v>
      </c>
      <c r="J185" s="233">
        <v>11.1091722627952</v>
      </c>
      <c r="K185" s="233">
        <v>29.6165270967998</v>
      </c>
      <c r="L185" s="233">
        <v>49.120103013392097</v>
      </c>
      <c r="M185" s="233">
        <v>11.6504374858158</v>
      </c>
      <c r="N185" s="233">
        <v>18.507354834004701</v>
      </c>
      <c r="O185" s="233">
        <v>70.3834729032002</v>
      </c>
      <c r="P185" s="233">
        <v>19.503575916592201</v>
      </c>
      <c r="Q185" s="233">
        <v>55.270299945957198</v>
      </c>
      <c r="R185" s="233">
        <v>63.940958871380801</v>
      </c>
      <c r="S185" s="233">
        <v>66.487231357259105</v>
      </c>
      <c r="T185" s="233">
        <v>35.766724029364902</v>
      </c>
      <c r="U185" s="233">
        <v>46.983655440666901</v>
      </c>
      <c r="V185" s="233">
        <v>48.408851815387898</v>
      </c>
      <c r="W185" s="233">
        <v>15.113172957243</v>
      </c>
      <c r="X185" s="233">
        <v>3.89624154594105</v>
      </c>
      <c r="Y185" s="233">
        <v>4.1842196018965296</v>
      </c>
      <c r="Z185" s="233">
        <v>10.2800045280913</v>
      </c>
      <c r="AA185" s="233">
        <v>27.4590036619622</v>
      </c>
      <c r="AB185" s="233">
        <v>45.648649075558602</v>
      </c>
      <c r="AC185" s="233">
        <v>10.803545337513899</v>
      </c>
      <c r="AD185" s="233">
        <v>17.178999133870899</v>
      </c>
      <c r="AE185" s="233">
        <v>72.5409963380378</v>
      </c>
      <c r="AF185" s="233">
        <v>18.189645413596399</v>
      </c>
      <c r="AG185" s="233">
        <v>54.614322458016403</v>
      </c>
      <c r="AH185" s="233">
        <v>64.178039547085604</v>
      </c>
      <c r="AI185" s="233">
        <v>67.146552200731406</v>
      </c>
      <c r="AJ185" s="233">
        <v>36.4246770444201</v>
      </c>
      <c r="AK185" s="233">
        <v>48.956906787134997</v>
      </c>
      <c r="AL185" s="233">
        <v>17.926673880021401</v>
      </c>
      <c r="AM185" s="236">
        <v>5.3944441373064702</v>
      </c>
    </row>
    <row r="186" spans="1:39">
      <c r="A186" s="236" t="s">
        <v>699</v>
      </c>
      <c r="B186" s="237">
        <v>548</v>
      </c>
      <c r="C186" s="236" t="s">
        <v>700</v>
      </c>
      <c r="D186" s="236" t="s">
        <v>701</v>
      </c>
      <c r="E186" s="236" t="s">
        <v>702</v>
      </c>
      <c r="F186" s="238">
        <v>155.69</v>
      </c>
      <c r="G186" s="238">
        <v>151.45999999999998</v>
      </c>
      <c r="H186" s="235">
        <f t="shared" si="2"/>
        <v>307.14999999999998</v>
      </c>
      <c r="I186" s="236">
        <v>5.2374025586512998</v>
      </c>
      <c r="J186" s="236">
        <v>13.413151318488699</v>
      </c>
      <c r="K186" s="236">
        <v>37.5786057961285</v>
      </c>
      <c r="L186" s="236">
        <v>55.668941852224798</v>
      </c>
      <c r="M186" s="236">
        <v>15.380254373205</v>
      </c>
      <c r="N186" s="236">
        <v>24.165454477639798</v>
      </c>
      <c r="O186" s="236">
        <v>62.4213942038715</v>
      </c>
      <c r="P186" s="236">
        <v>18.090336056096401</v>
      </c>
      <c r="Q186" s="236">
        <v>49.5759203312073</v>
      </c>
      <c r="R186" s="236">
        <v>56.106075864384003</v>
      </c>
      <c r="S186" s="236">
        <v>58.318600574391098</v>
      </c>
      <c r="T186" s="236">
        <v>31.485584275111002</v>
      </c>
      <c r="U186" s="236">
        <v>40.228264518294701</v>
      </c>
      <c r="V186" s="236">
        <v>41.829099996270202</v>
      </c>
      <c r="W186" s="236">
        <v>12.845473872664201</v>
      </c>
      <c r="X186" s="236">
        <v>4.1027936294804404</v>
      </c>
      <c r="Y186" s="236">
        <v>5.0116005727543502</v>
      </c>
      <c r="Z186" s="236">
        <v>12.8540471833197</v>
      </c>
      <c r="AA186" s="236">
        <v>35.4556383377872</v>
      </c>
      <c r="AB186" s="236">
        <v>54.018851887868799</v>
      </c>
      <c r="AC186" s="236">
        <v>14.5018645144988</v>
      </c>
      <c r="AD186" s="236">
        <v>22.601591154467599</v>
      </c>
      <c r="AE186" s="236">
        <v>64.544361662212793</v>
      </c>
      <c r="AF186" s="236">
        <v>18.5632135500815</v>
      </c>
      <c r="AG186" s="236">
        <v>50.910817246950501</v>
      </c>
      <c r="AH186" s="236">
        <v>57.913275190088598</v>
      </c>
      <c r="AI186" s="236">
        <v>60.2464068853036</v>
      </c>
      <c r="AJ186" s="236">
        <v>32.347603696869001</v>
      </c>
      <c r="AK186" s="236">
        <v>41.6831933352221</v>
      </c>
      <c r="AL186" s="236">
        <v>13.6335444152622</v>
      </c>
      <c r="AM186" s="233">
        <v>4.29795477690912</v>
      </c>
    </row>
    <row r="187" spans="1:39">
      <c r="A187" s="233" t="s">
        <v>703</v>
      </c>
      <c r="B187" s="234">
        <v>862</v>
      </c>
      <c r="C187" s="233" t="s">
        <v>704</v>
      </c>
      <c r="D187" s="233" t="s">
        <v>705</v>
      </c>
      <c r="E187" s="233" t="s">
        <v>706</v>
      </c>
      <c r="F187" s="235">
        <v>13984.931999999995</v>
      </c>
      <c r="G187" s="235">
        <v>14451.011000000004</v>
      </c>
      <c r="H187" s="235">
        <f t="shared" si="2"/>
        <v>28435.942999999999</v>
      </c>
      <c r="I187" s="233">
        <v>3.9188553180138901</v>
      </c>
      <c r="J187" s="233">
        <v>9.7694541447483001</v>
      </c>
      <c r="K187" s="233">
        <v>28.8283402533486</v>
      </c>
      <c r="L187" s="233">
        <v>46.890810030811899</v>
      </c>
      <c r="M187" s="233">
        <v>11.539386619958</v>
      </c>
      <c r="N187" s="233">
        <v>19.058886108600301</v>
      </c>
      <c r="O187" s="233">
        <v>71.1716597466514</v>
      </c>
      <c r="P187" s="233">
        <v>18.062469777463299</v>
      </c>
      <c r="Q187" s="233">
        <v>53.173455939520601</v>
      </c>
      <c r="R187" s="233">
        <v>62.569330636310603</v>
      </c>
      <c r="S187" s="233">
        <v>65.599594142285596</v>
      </c>
      <c r="T187" s="233">
        <v>35.110986162057301</v>
      </c>
      <c r="U187" s="233">
        <v>47.537124364822297</v>
      </c>
      <c r="V187" s="233">
        <v>49.757073599031898</v>
      </c>
      <c r="W187" s="233">
        <v>17.9982038071308</v>
      </c>
      <c r="X187" s="233">
        <v>5.5720656043658296</v>
      </c>
      <c r="Y187" s="233">
        <v>3.7101234104450702</v>
      </c>
      <c r="Z187" s="233">
        <v>9.2627996293679207</v>
      </c>
      <c r="AA187" s="233">
        <v>27.388671139056001</v>
      </c>
      <c r="AB187" s="233">
        <v>44.783610810196201</v>
      </c>
      <c r="AC187" s="233">
        <v>10.9694638241298</v>
      </c>
      <c r="AD187" s="233">
        <v>18.1258715096881</v>
      </c>
      <c r="AE187" s="233">
        <v>72.611328860943999</v>
      </c>
      <c r="AF187" s="233">
        <v>17.3949396711402</v>
      </c>
      <c r="AG187" s="233">
        <v>52.649331836704199</v>
      </c>
      <c r="AH187" s="233">
        <v>62.417851949717097</v>
      </c>
      <c r="AI187" s="233">
        <v>65.655351599224701</v>
      </c>
      <c r="AJ187" s="233">
        <v>35.254392165563999</v>
      </c>
      <c r="AK187" s="233">
        <v>48.260411928084501</v>
      </c>
      <c r="AL187" s="233">
        <v>19.9619970242397</v>
      </c>
      <c r="AM187" s="236">
        <v>6.9559772617192799</v>
      </c>
    </row>
    <row r="188" spans="1:39">
      <c r="A188" s="236" t="s">
        <v>707</v>
      </c>
      <c r="B188" s="237">
        <v>704</v>
      </c>
      <c r="C188" s="236" t="s">
        <v>708</v>
      </c>
      <c r="D188" s="236" t="s">
        <v>709</v>
      </c>
      <c r="E188" s="236" t="s">
        <v>710</v>
      </c>
      <c r="F188" s="238">
        <v>48598.253999999994</v>
      </c>
      <c r="G188" s="238">
        <v>48740.329000000012</v>
      </c>
      <c r="H188" s="235">
        <f t="shared" si="2"/>
        <v>97338.583000000013</v>
      </c>
      <c r="I188" s="236">
        <v>3.5447264953979198</v>
      </c>
      <c r="J188" s="236">
        <v>8.8233874574091899</v>
      </c>
      <c r="K188" s="236">
        <v>24.359085660886699</v>
      </c>
      <c r="L188" s="236">
        <v>41.8229704271995</v>
      </c>
      <c r="M188" s="236">
        <v>9.6832826787042201</v>
      </c>
      <c r="N188" s="236">
        <v>15.5356982034775</v>
      </c>
      <c r="O188" s="236">
        <v>75.640914339113294</v>
      </c>
      <c r="P188" s="236">
        <v>17.463884766312798</v>
      </c>
      <c r="Q188" s="236">
        <v>56.822643003211098</v>
      </c>
      <c r="R188" s="236">
        <v>67.331927598778904</v>
      </c>
      <c r="S188" s="236">
        <v>70.596354497874302</v>
      </c>
      <c r="T188" s="236">
        <v>39.358758236898296</v>
      </c>
      <c r="U188" s="236">
        <v>53.1324697315614</v>
      </c>
      <c r="V188" s="236">
        <v>54.857748609291797</v>
      </c>
      <c r="W188" s="236">
        <v>18.8182713359022</v>
      </c>
      <c r="X188" s="236">
        <v>5.0445598412390602</v>
      </c>
      <c r="Y188" s="236">
        <v>3.1146642285395201</v>
      </c>
      <c r="Z188" s="236">
        <v>7.7552691761317298</v>
      </c>
      <c r="AA188" s="236">
        <v>21.847134154507199</v>
      </c>
      <c r="AB188" s="236">
        <v>38.1602939847361</v>
      </c>
      <c r="AC188" s="236">
        <v>8.6823042571593891</v>
      </c>
      <c r="AD188" s="236">
        <v>14.0918649783754</v>
      </c>
      <c r="AE188" s="236">
        <v>78.152865845492798</v>
      </c>
      <c r="AF188" s="236">
        <v>16.313159830229001</v>
      </c>
      <c r="AG188" s="236">
        <v>54.842290003128099</v>
      </c>
      <c r="AH188" s="236">
        <v>65.928894762846298</v>
      </c>
      <c r="AI188" s="236">
        <v>69.752277337301507</v>
      </c>
      <c r="AJ188" s="236">
        <v>38.529130172899201</v>
      </c>
      <c r="AK188" s="236">
        <v>53.439117507072602</v>
      </c>
      <c r="AL188" s="236">
        <v>23.310575842364699</v>
      </c>
      <c r="AM188" s="233">
        <v>8.4005885081912801</v>
      </c>
    </row>
    <row r="189" spans="1:39">
      <c r="A189" s="233" t="s">
        <v>711</v>
      </c>
      <c r="B189" s="234">
        <v>887</v>
      </c>
      <c r="C189" s="233" t="s">
        <v>712</v>
      </c>
      <c r="D189" s="233" t="s">
        <v>713</v>
      </c>
      <c r="E189" s="233" t="s">
        <v>714</v>
      </c>
      <c r="F189" s="235">
        <v>15024.985000000002</v>
      </c>
      <c r="G189" s="235">
        <v>14800.983000000002</v>
      </c>
      <c r="H189" s="235">
        <f t="shared" si="2"/>
        <v>29825.968000000004</v>
      </c>
      <c r="I189" s="233">
        <v>6.01781177429939</v>
      </c>
      <c r="J189" s="233">
        <v>14.779674768074599</v>
      </c>
      <c r="K189" s="233">
        <v>40.672126500429897</v>
      </c>
      <c r="L189" s="233">
        <v>62.936689430648599</v>
      </c>
      <c r="M189" s="233">
        <v>16.169426711552202</v>
      </c>
      <c r="N189" s="233">
        <v>25.892451732355301</v>
      </c>
      <c r="O189" s="233">
        <v>59.327873499570103</v>
      </c>
      <c r="P189" s="233">
        <v>22.264562930218698</v>
      </c>
      <c r="Q189" s="233">
        <v>50.5260865965897</v>
      </c>
      <c r="R189" s="233">
        <v>54.921981258856697</v>
      </c>
      <c r="S189" s="233">
        <v>56.695079464885303</v>
      </c>
      <c r="T189" s="233">
        <v>28.261523666371001</v>
      </c>
      <c r="U189" s="233">
        <v>34.430516534666701</v>
      </c>
      <c r="V189" s="233">
        <v>35.6715074621778</v>
      </c>
      <c r="W189" s="233">
        <v>8.8017869029803997</v>
      </c>
      <c r="X189" s="233">
        <v>2.63279403468474</v>
      </c>
      <c r="Y189" s="233">
        <v>5.8889746638528901</v>
      </c>
      <c r="Z189" s="233">
        <v>14.469890013000301</v>
      </c>
      <c r="AA189" s="233">
        <v>39.847041927239196</v>
      </c>
      <c r="AB189" s="233">
        <v>61.7694358424732</v>
      </c>
      <c r="AC189" s="233">
        <v>15.843946196580699</v>
      </c>
      <c r="AD189" s="233">
        <v>25.377151914238901</v>
      </c>
      <c r="AE189" s="233">
        <v>60.152958072760804</v>
      </c>
      <c r="AF189" s="233">
        <v>21.922393915234</v>
      </c>
      <c r="AG189" s="233">
        <v>49.990771095840302</v>
      </c>
      <c r="AH189" s="233">
        <v>55.2057081694742</v>
      </c>
      <c r="AI189" s="233">
        <v>57.208534752001498</v>
      </c>
      <c r="AJ189" s="233">
        <v>28.068377180606301</v>
      </c>
      <c r="AK189" s="233">
        <v>35.286140836767501</v>
      </c>
      <c r="AL189" s="233">
        <v>10.1621869769205</v>
      </c>
      <c r="AM189" s="236">
        <v>2.94442332075928</v>
      </c>
    </row>
    <row r="190" spans="1:39">
      <c r="A190" s="236" t="s">
        <v>715</v>
      </c>
      <c r="B190" s="237">
        <v>894</v>
      </c>
      <c r="C190" s="236" t="s">
        <v>716</v>
      </c>
      <c r="D190" s="236" t="s">
        <v>413</v>
      </c>
      <c r="E190" s="236" t="s">
        <v>717</v>
      </c>
      <c r="F190" s="238">
        <v>9103.006000000003</v>
      </c>
      <c r="G190" s="238">
        <v>9280.9500000000007</v>
      </c>
      <c r="H190" s="235">
        <f t="shared" si="2"/>
        <v>18383.956000000006</v>
      </c>
      <c r="I190" s="236">
        <v>7.3651099436385099</v>
      </c>
      <c r="J190" s="236">
        <v>17.7713829130428</v>
      </c>
      <c r="K190" s="236">
        <v>46.310396289830798</v>
      </c>
      <c r="L190" s="236">
        <v>66.401994057808594</v>
      </c>
      <c r="M190" s="236">
        <v>18.273986992514001</v>
      </c>
      <c r="N190" s="236">
        <v>28.539013376787999</v>
      </c>
      <c r="O190" s="236">
        <v>53.689603710169202</v>
      </c>
      <c r="P190" s="236">
        <v>20.091597767977799</v>
      </c>
      <c r="Q190" s="236">
        <v>46.579125578370302</v>
      </c>
      <c r="R190" s="236">
        <v>49.981015974628001</v>
      </c>
      <c r="S190" s="236">
        <v>51.148573689957097</v>
      </c>
      <c r="T190" s="236">
        <v>26.4875278103925</v>
      </c>
      <c r="U190" s="236">
        <v>31.056975921979301</v>
      </c>
      <c r="V190" s="236">
        <v>32.058811065024202</v>
      </c>
      <c r="W190" s="236">
        <v>7.1104781317989296</v>
      </c>
      <c r="X190" s="236">
        <v>2.5410300202121499</v>
      </c>
      <c r="Y190" s="236">
        <v>7.1980704892265699</v>
      </c>
      <c r="Z190" s="236">
        <v>17.3987450296374</v>
      </c>
      <c r="AA190" s="236">
        <v>45.5206008287633</v>
      </c>
      <c r="AB190" s="236">
        <v>65.524468719358694</v>
      </c>
      <c r="AC190" s="236">
        <v>17.982094376530501</v>
      </c>
      <c r="AD190" s="236">
        <v>28.1218557991259</v>
      </c>
      <c r="AE190" s="236">
        <v>54.4793991712367</v>
      </c>
      <c r="AF190" s="236">
        <v>20.003867890595401</v>
      </c>
      <c r="AG190" s="236">
        <v>45.987839549058101</v>
      </c>
      <c r="AH190" s="236">
        <v>49.680714254039103</v>
      </c>
      <c r="AI190" s="236">
        <v>51.204268968677503</v>
      </c>
      <c r="AJ190" s="236">
        <v>25.983971658462799</v>
      </c>
      <c r="AK190" s="236">
        <v>31.200401078082098</v>
      </c>
      <c r="AL190" s="236">
        <v>8.4915596221785297</v>
      </c>
      <c r="AM190" s="233">
        <v>3.2751302025592102</v>
      </c>
    </row>
    <row r="191" spans="1:39">
      <c r="A191" s="233" t="s">
        <v>718</v>
      </c>
      <c r="B191" s="234">
        <v>716</v>
      </c>
      <c r="C191" s="233" t="s">
        <v>719</v>
      </c>
      <c r="D191" s="233" t="s">
        <v>720</v>
      </c>
      <c r="E191" s="233" t="s">
        <v>721</v>
      </c>
      <c r="F191" s="235">
        <v>7092.010000000002</v>
      </c>
      <c r="G191" s="235">
        <v>7770.9170000000004</v>
      </c>
      <c r="H191" s="235">
        <f t="shared" si="2"/>
        <v>14862.927000000003</v>
      </c>
      <c r="I191" s="233">
        <v>6.8058292120630801</v>
      </c>
      <c r="J191" s="233">
        <v>16.3471568405932</v>
      </c>
      <c r="K191" s="233">
        <v>42.304779008467797</v>
      </c>
      <c r="L191" s="233">
        <v>63.330769449904601</v>
      </c>
      <c r="M191" s="233">
        <v>16.547740719190799</v>
      </c>
      <c r="N191" s="233">
        <v>25.9576221678747</v>
      </c>
      <c r="O191" s="233">
        <v>57.695220991532203</v>
      </c>
      <c r="P191" s="233">
        <v>21.025990441436701</v>
      </c>
      <c r="Q191" s="233">
        <v>50.140298146732398</v>
      </c>
      <c r="R191" s="233">
        <v>53.655966388281698</v>
      </c>
      <c r="S191" s="233">
        <v>54.990161373762803</v>
      </c>
      <c r="T191" s="233">
        <v>29.114307705295701</v>
      </c>
      <c r="U191" s="233">
        <v>33.964170932326098</v>
      </c>
      <c r="V191" s="233">
        <v>34.886310436462502</v>
      </c>
      <c r="W191" s="233">
        <v>7.5549228447997203</v>
      </c>
      <c r="X191" s="233">
        <v>2.70505961776934</v>
      </c>
      <c r="Y191" s="233">
        <v>6.5546466706943596</v>
      </c>
      <c r="Z191" s="233">
        <v>15.7669540380185</v>
      </c>
      <c r="AA191" s="233">
        <v>40.916167057939496</v>
      </c>
      <c r="AB191" s="233">
        <v>61.697868681424602</v>
      </c>
      <c r="AC191" s="233">
        <v>16.018129182936001</v>
      </c>
      <c r="AD191" s="233">
        <v>25.1492130199209</v>
      </c>
      <c r="AE191" s="233">
        <v>59.083832942060504</v>
      </c>
      <c r="AF191" s="233">
        <v>20.781701623485201</v>
      </c>
      <c r="AG191" s="233">
        <v>50.551332033049299</v>
      </c>
      <c r="AH191" s="233">
        <v>54.343620636461999</v>
      </c>
      <c r="AI191" s="233">
        <v>55.867297756694299</v>
      </c>
      <c r="AJ191" s="233">
        <v>29.769630409564201</v>
      </c>
      <c r="AK191" s="233">
        <v>35.085596133209101</v>
      </c>
      <c r="AL191" s="233">
        <v>8.5325009090111994</v>
      </c>
      <c r="AM191" s="236">
        <v>3.2165351853662698</v>
      </c>
    </row>
  </sheetData>
  <autoFilter ref="A6:AM6">
    <sortState ref="A7:AM191">
      <sortCondition ref="C6"/>
    </sortState>
  </autoFilter>
  <conditionalFormatting sqref="D7:AL191">
    <cfRule type="expression" dxfId="0" priority="1">
      <formula>ISERROR(D7)="TRUE"</formula>
    </cfRule>
  </conditionalFormatting>
  <hyperlinks>
    <hyperlink ref="F4" r:id="rId1"/>
    <hyperlink ref="G4:AM4" r:id="rId2" display="Source"/>
  </hyperlinks>
  <pageMargins left="0.7" right="0.7" top="0.75" bottom="0.75" header="0.3" footer="0.3"/>
  <pageSetup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249977111117893"/>
  </sheetPr>
  <dimension ref="A1:AL60"/>
  <sheetViews>
    <sheetView showGridLines="0" zoomScale="80" zoomScaleNormal="80" zoomScalePageLayoutView="90" workbookViewId="0">
      <selection activeCell="J8" sqref="J8"/>
    </sheetView>
  </sheetViews>
  <sheetFormatPr baseColWidth="10" defaultColWidth="9" defaultRowHeight="14.4"/>
  <cols>
    <col min="1" max="1" width="7.88671875" style="415" customWidth="1"/>
    <col min="2" max="2" width="18.77734375" style="413" customWidth="1"/>
    <col min="3" max="3" width="32.6640625" style="416" customWidth="1"/>
    <col min="4" max="4" width="18.44140625" style="417" customWidth="1"/>
    <col min="5" max="5" width="11.6640625" style="416" customWidth="1"/>
    <col min="6" max="6" width="21.21875" style="418" customWidth="1"/>
    <col min="7" max="7" width="23.33203125" style="413" customWidth="1"/>
    <col min="8" max="16384" width="9" style="413"/>
  </cols>
  <sheetData>
    <row r="1" spans="1:38" s="421" customFormat="1" ht="28.95" customHeight="1">
      <c r="A1" s="422" t="s">
        <v>1332</v>
      </c>
      <c r="B1" s="420"/>
      <c r="C1" s="420"/>
      <c r="D1" s="419"/>
      <c r="E1" s="420"/>
      <c r="F1" s="420"/>
      <c r="G1" s="420"/>
      <c r="H1" s="419"/>
      <c r="I1" s="420"/>
      <c r="J1" s="420"/>
      <c r="K1" s="419"/>
      <c r="L1" s="420"/>
      <c r="M1" s="419"/>
      <c r="N1" s="420"/>
      <c r="O1" s="420"/>
      <c r="P1" s="419"/>
      <c r="Q1" s="420"/>
      <c r="R1" s="420"/>
      <c r="S1" s="419"/>
      <c r="T1" s="420"/>
      <c r="U1" s="420"/>
      <c r="V1" s="419"/>
      <c r="W1" s="420"/>
      <c r="X1" s="420"/>
      <c r="Y1" s="419"/>
      <c r="Z1" s="420"/>
      <c r="AA1" s="419"/>
      <c r="AB1" s="420"/>
      <c r="AC1" s="420"/>
      <c r="AD1" s="419"/>
      <c r="AE1" s="420"/>
      <c r="AF1" s="420"/>
      <c r="AG1" s="419"/>
      <c r="AH1" s="420"/>
      <c r="AI1" s="420"/>
      <c r="AJ1" s="419"/>
      <c r="AK1" s="420"/>
      <c r="AL1" s="420"/>
    </row>
    <row r="2" spans="1:38" s="218" customFormat="1" ht="13.8">
      <c r="A2" s="434" t="s">
        <v>1334</v>
      </c>
      <c r="B2" s="240"/>
      <c r="C2" s="241"/>
      <c r="D2" s="242"/>
      <c r="E2" s="242"/>
      <c r="F2" s="242"/>
      <c r="G2" s="242"/>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row>
    <row r="3" spans="1:38" ht="33.75" customHeight="1">
      <c r="A3" s="424"/>
      <c r="B3" s="424"/>
      <c r="C3" s="424"/>
      <c r="D3" s="425"/>
      <c r="E3" s="424"/>
      <c r="F3" s="425"/>
      <c r="G3" s="424"/>
    </row>
    <row r="4" spans="1:38" ht="33.75" customHeight="1">
      <c r="A4" s="1098" t="s">
        <v>1226</v>
      </c>
      <c r="B4" s="1098"/>
      <c r="C4" s="1098"/>
      <c r="D4" s="1099"/>
      <c r="E4" s="1098"/>
      <c r="F4" s="1099"/>
      <c r="G4" s="1098"/>
    </row>
    <row r="5" spans="1:38" ht="45.75" customHeight="1">
      <c r="A5" s="1092" t="s">
        <v>1227</v>
      </c>
      <c r="B5" s="1093"/>
      <c r="C5" s="1094" t="s">
        <v>1228</v>
      </c>
      <c r="D5" s="1095"/>
      <c r="E5" s="1094"/>
      <c r="F5" s="1095"/>
      <c r="G5" s="1094"/>
    </row>
    <row r="6" spans="1:38" ht="38.25" customHeight="1">
      <c r="A6" s="304" t="s">
        <v>1229</v>
      </c>
      <c r="B6" s="304" t="s">
        <v>1230</v>
      </c>
      <c r="C6" s="304" t="s">
        <v>1231</v>
      </c>
      <c r="D6" s="305" t="s">
        <v>1232</v>
      </c>
      <c r="E6" s="304" t="s">
        <v>1173</v>
      </c>
      <c r="F6" s="305" t="s">
        <v>1174</v>
      </c>
      <c r="G6" s="304" t="s">
        <v>1233</v>
      </c>
    </row>
    <row r="7" spans="1:38" ht="79.05" customHeight="1">
      <c r="A7" s="389">
        <v>1</v>
      </c>
      <c r="B7" s="309" t="s">
        <v>1234</v>
      </c>
      <c r="C7" s="312" t="s">
        <v>1235</v>
      </c>
      <c r="D7" s="310">
        <v>7</v>
      </c>
      <c r="E7" s="309" t="s">
        <v>1236</v>
      </c>
      <c r="F7" s="309">
        <v>5.85</v>
      </c>
      <c r="G7" s="304"/>
    </row>
    <row r="8" spans="1:38" customFormat="1" ht="15.6">
      <c r="A8" s="389">
        <v>2</v>
      </c>
      <c r="B8" s="309" t="s">
        <v>1237</v>
      </c>
      <c r="C8" s="390" t="s">
        <v>1238</v>
      </c>
      <c r="D8" s="310">
        <v>14.76923076923077</v>
      </c>
      <c r="E8" s="306" t="s">
        <v>1239</v>
      </c>
      <c r="F8" s="308">
        <v>12</v>
      </c>
      <c r="G8" s="1100"/>
    </row>
    <row r="9" spans="1:38" customFormat="1" ht="15.6">
      <c r="A9" s="389">
        <v>3</v>
      </c>
      <c r="B9" s="309" t="s">
        <v>1240</v>
      </c>
      <c r="C9" s="390" t="s">
        <v>1241</v>
      </c>
      <c r="D9" s="310">
        <v>18.46153846153846</v>
      </c>
      <c r="E9" s="306" t="s">
        <v>1239</v>
      </c>
      <c r="F9" s="308">
        <v>14.76923076923077</v>
      </c>
      <c r="G9" s="1100"/>
    </row>
    <row r="10" spans="1:38" customFormat="1" ht="15.6">
      <c r="A10" s="389">
        <v>4</v>
      </c>
      <c r="B10" s="309" t="s">
        <v>1242</v>
      </c>
      <c r="C10" s="390" t="s">
        <v>1243</v>
      </c>
      <c r="D10" s="310">
        <v>22.153846153846153</v>
      </c>
      <c r="E10" s="306" t="s">
        <v>1239</v>
      </c>
      <c r="F10" s="308">
        <v>17.723076923076921</v>
      </c>
      <c r="G10" s="1100"/>
    </row>
    <row r="11" spans="1:38" customFormat="1" ht="15.6">
      <c r="A11" s="389">
        <v>5</v>
      </c>
      <c r="B11" s="309" t="s">
        <v>1244</v>
      </c>
      <c r="C11" s="390" t="s">
        <v>1245</v>
      </c>
      <c r="D11" s="310">
        <v>27.692307692307693</v>
      </c>
      <c r="E11" s="306" t="s">
        <v>1239</v>
      </c>
      <c r="F11" s="308">
        <v>22.153846153846153</v>
      </c>
      <c r="G11" s="1100"/>
    </row>
    <row r="12" spans="1:38" ht="26.25" customHeight="1">
      <c r="A12" s="1092" t="s">
        <v>1246</v>
      </c>
      <c r="B12" s="1093"/>
      <c r="C12" s="1094" t="s">
        <v>1247</v>
      </c>
      <c r="D12" s="1095"/>
      <c r="E12" s="1094"/>
      <c r="F12" s="1095"/>
      <c r="G12" s="1094"/>
    </row>
    <row r="13" spans="1:38" ht="31.5" customHeight="1">
      <c r="A13" s="304" t="s">
        <v>1229</v>
      </c>
      <c r="B13" s="304" t="s">
        <v>1230</v>
      </c>
      <c r="C13" s="304" t="s">
        <v>1231</v>
      </c>
      <c r="D13" s="303" t="s">
        <v>1172</v>
      </c>
      <c r="E13" s="304" t="s">
        <v>1173</v>
      </c>
      <c r="F13" s="305" t="s">
        <v>1174</v>
      </c>
      <c r="G13" s="304" t="s">
        <v>1233</v>
      </c>
    </row>
    <row r="14" spans="1:38" customFormat="1" ht="86.25" customHeight="1">
      <c r="A14" s="309">
        <v>1</v>
      </c>
      <c r="B14" s="309" t="s">
        <v>1248</v>
      </c>
      <c r="C14" s="309" t="s">
        <v>1249</v>
      </c>
      <c r="D14" s="310">
        <v>177.23076923076923</v>
      </c>
      <c r="E14" s="306" t="s">
        <v>1239</v>
      </c>
      <c r="F14" s="308">
        <v>141.78461538461536</v>
      </c>
      <c r="G14" s="313"/>
    </row>
    <row r="15" spans="1:38" customFormat="1" ht="86.25" customHeight="1">
      <c r="A15" s="309">
        <v>2</v>
      </c>
      <c r="B15" s="309" t="s">
        <v>1250</v>
      </c>
      <c r="C15" s="309" t="s">
        <v>1251</v>
      </c>
      <c r="D15" s="310">
        <v>68.307692307692307</v>
      </c>
      <c r="E15" s="306" t="s">
        <v>1239</v>
      </c>
      <c r="F15" s="308">
        <v>54.646153846153844</v>
      </c>
      <c r="G15" s="313"/>
    </row>
    <row r="16" spans="1:38" customFormat="1" ht="90" customHeight="1">
      <c r="A16" s="309">
        <v>3</v>
      </c>
      <c r="B16" s="309" t="s">
        <v>1252</v>
      </c>
      <c r="C16" s="309" t="s">
        <v>1253</v>
      </c>
      <c r="D16" s="310">
        <v>16.615384615384617</v>
      </c>
      <c r="E16" s="306" t="s">
        <v>1239</v>
      </c>
      <c r="F16" s="308">
        <v>13.292307692307691</v>
      </c>
      <c r="G16" s="313"/>
    </row>
    <row r="17" spans="1:7" customFormat="1" ht="91.5" customHeight="1">
      <c r="A17" s="309">
        <v>4</v>
      </c>
      <c r="B17" s="309" t="s">
        <v>1254</v>
      </c>
      <c r="C17" s="309" t="s">
        <v>1255</v>
      </c>
      <c r="D17" s="310">
        <v>40.615384615384613</v>
      </c>
      <c r="E17" s="306" t="s">
        <v>1239</v>
      </c>
      <c r="F17" s="308">
        <v>34.523076923076921</v>
      </c>
      <c r="G17" s="313"/>
    </row>
    <row r="18" spans="1:7" customFormat="1" ht="378" customHeight="1">
      <c r="A18" s="309">
        <v>5</v>
      </c>
      <c r="B18" s="306" t="s">
        <v>1256</v>
      </c>
      <c r="C18" s="312" t="s">
        <v>1257</v>
      </c>
      <c r="D18" s="310">
        <v>25.476923076923075</v>
      </c>
      <c r="E18" s="309" t="s">
        <v>1258</v>
      </c>
      <c r="F18" s="391">
        <v>12.87</v>
      </c>
      <c r="G18" s="313"/>
    </row>
    <row r="19" spans="1:7" customFormat="1" ht="408.75" customHeight="1">
      <c r="A19" s="309">
        <v>6</v>
      </c>
      <c r="B19" s="306" t="s">
        <v>1259</v>
      </c>
      <c r="C19" s="312" t="s">
        <v>1260</v>
      </c>
      <c r="D19" s="308">
        <v>36.92307692307692</v>
      </c>
      <c r="E19" s="309" t="s">
        <v>1261</v>
      </c>
      <c r="F19" s="310">
        <v>12.923076923076923</v>
      </c>
      <c r="G19" s="313"/>
    </row>
    <row r="20" spans="1:7" customFormat="1" ht="409.6">
      <c r="A20" s="309">
        <v>7</v>
      </c>
      <c r="B20" s="311" t="s">
        <v>1262</v>
      </c>
      <c r="C20" s="392" t="s">
        <v>1263</v>
      </c>
      <c r="D20" s="308">
        <v>49.846153846153847</v>
      </c>
      <c r="E20" s="309" t="s">
        <v>1258</v>
      </c>
      <c r="F20" s="310">
        <v>17.53846153846154</v>
      </c>
      <c r="G20" s="313"/>
    </row>
    <row r="21" spans="1:7" ht="40.5" customHeight="1">
      <c r="A21" s="1092" t="s">
        <v>1264</v>
      </c>
      <c r="B21" s="1093"/>
      <c r="C21" s="1094" t="s">
        <v>1265</v>
      </c>
      <c r="D21" s="1095"/>
      <c r="E21" s="1094"/>
      <c r="F21" s="1095"/>
      <c r="G21" s="1094"/>
    </row>
    <row r="22" spans="1:7" ht="35.25" customHeight="1">
      <c r="A22" s="304" t="s">
        <v>1229</v>
      </c>
      <c r="B22" s="393" t="s">
        <v>1230</v>
      </c>
      <c r="C22" s="304" t="s">
        <v>1231</v>
      </c>
      <c r="D22" s="303" t="s">
        <v>1172</v>
      </c>
      <c r="E22" s="304" t="s">
        <v>1173</v>
      </c>
      <c r="F22" s="305" t="s">
        <v>1174</v>
      </c>
      <c r="G22" s="304" t="s">
        <v>1233</v>
      </c>
    </row>
    <row r="23" spans="1:7" customFormat="1" ht="66.75" customHeight="1">
      <c r="A23" s="309">
        <v>1</v>
      </c>
      <c r="B23" s="394" t="s">
        <v>1266</v>
      </c>
      <c r="C23" s="309" t="s">
        <v>1267</v>
      </c>
      <c r="D23" s="391">
        <v>12</v>
      </c>
      <c r="E23" s="309" t="s">
        <v>1261</v>
      </c>
      <c r="F23" s="391">
        <v>9.6999999999999993</v>
      </c>
      <c r="G23" s="313"/>
    </row>
    <row r="24" spans="1:7" customFormat="1" ht="73.5" customHeight="1">
      <c r="A24" s="309">
        <v>2</v>
      </c>
      <c r="B24" s="395" t="s">
        <v>1268</v>
      </c>
      <c r="C24" s="309" t="s">
        <v>1269</v>
      </c>
      <c r="D24" s="391">
        <v>12</v>
      </c>
      <c r="E24" s="309" t="s">
        <v>1261</v>
      </c>
      <c r="F24" s="391">
        <v>9.6999999999999993</v>
      </c>
      <c r="G24" s="313"/>
    </row>
    <row r="25" spans="1:7" customFormat="1" ht="73.5" customHeight="1">
      <c r="A25" s="309">
        <v>3</v>
      </c>
      <c r="B25" s="396" t="s">
        <v>1270</v>
      </c>
      <c r="C25" s="309" t="s">
        <v>1271</v>
      </c>
      <c r="D25" s="391">
        <v>8.8615384615384603</v>
      </c>
      <c r="E25" s="309" t="s">
        <v>1261</v>
      </c>
      <c r="F25" s="391">
        <v>7.2</v>
      </c>
      <c r="G25" s="313"/>
    </row>
    <row r="26" spans="1:7" customFormat="1" ht="73.5" customHeight="1">
      <c r="A26" s="309">
        <v>4</v>
      </c>
      <c r="B26" s="395" t="s">
        <v>1272</v>
      </c>
      <c r="C26" s="309" t="s">
        <v>1273</v>
      </c>
      <c r="D26" s="391">
        <v>6.6461538461538456</v>
      </c>
      <c r="E26" s="309" t="s">
        <v>1261</v>
      </c>
      <c r="F26" s="391">
        <v>5.54</v>
      </c>
      <c r="G26" s="313"/>
    </row>
    <row r="27" spans="1:7" customFormat="1" ht="73.5" customHeight="1">
      <c r="A27" s="309">
        <v>5</v>
      </c>
      <c r="B27" s="397" t="s">
        <v>1274</v>
      </c>
      <c r="C27" s="309" t="s">
        <v>1275</v>
      </c>
      <c r="D27" s="391">
        <v>6.0923076923076929</v>
      </c>
      <c r="E27" s="309" t="s">
        <v>1261</v>
      </c>
      <c r="F27" s="391">
        <v>5.15</v>
      </c>
      <c r="G27" s="313"/>
    </row>
    <row r="28" spans="1:7" customFormat="1" ht="111" customHeight="1">
      <c r="A28" s="309">
        <v>6</v>
      </c>
      <c r="B28" s="398">
        <v>7006</v>
      </c>
      <c r="C28" s="309" t="s">
        <v>1276</v>
      </c>
      <c r="D28" s="310">
        <v>6.4615384615384617</v>
      </c>
      <c r="E28" s="306" t="s">
        <v>1176</v>
      </c>
      <c r="F28" s="308">
        <v>2.2153846153846151</v>
      </c>
      <c r="G28" s="313"/>
    </row>
    <row r="29" spans="1:7" customFormat="1" ht="174.75" customHeight="1">
      <c r="A29" s="309">
        <v>7</v>
      </c>
      <c r="B29" s="398" t="s">
        <v>1277</v>
      </c>
      <c r="C29" s="312" t="s">
        <v>1278</v>
      </c>
      <c r="D29" s="310">
        <v>31.384615384615383</v>
      </c>
      <c r="E29" s="306" t="s">
        <v>1176</v>
      </c>
      <c r="F29" s="308">
        <v>20.307692307692307</v>
      </c>
      <c r="G29" s="313"/>
    </row>
    <row r="30" spans="1:7" ht="40.5" customHeight="1">
      <c r="A30" s="1092" t="s">
        <v>1279</v>
      </c>
      <c r="B30" s="1093"/>
      <c r="C30" s="1094" t="s">
        <v>1265</v>
      </c>
      <c r="D30" s="1095"/>
      <c r="E30" s="1094"/>
      <c r="F30" s="1095"/>
      <c r="G30" s="1094"/>
    </row>
    <row r="31" spans="1:7" ht="35.25" customHeight="1">
      <c r="A31" s="304" t="s">
        <v>1229</v>
      </c>
      <c r="B31" s="399" t="s">
        <v>1230</v>
      </c>
      <c r="C31" s="304" t="s">
        <v>1231</v>
      </c>
      <c r="D31" s="303" t="s">
        <v>1172</v>
      </c>
      <c r="E31" s="304" t="s">
        <v>1173</v>
      </c>
      <c r="F31" s="305" t="s">
        <v>1174</v>
      </c>
      <c r="G31" s="304" t="s">
        <v>1233</v>
      </c>
    </row>
    <row r="32" spans="1:7" customFormat="1" ht="83.25" customHeight="1">
      <c r="A32" s="309">
        <v>1</v>
      </c>
      <c r="B32" s="309" t="s">
        <v>1280</v>
      </c>
      <c r="C32" s="312" t="s">
        <v>1281</v>
      </c>
      <c r="D32" s="310">
        <v>6.6461538461538456</v>
      </c>
      <c r="E32" s="306" t="s">
        <v>1239</v>
      </c>
      <c r="F32" s="308">
        <v>5.3538461538461535</v>
      </c>
      <c r="G32" s="313"/>
    </row>
    <row r="33" spans="1:7" customFormat="1" ht="77.25" customHeight="1">
      <c r="A33" s="309">
        <v>2</v>
      </c>
      <c r="B33" s="309" t="s">
        <v>1282</v>
      </c>
      <c r="C33" s="312" t="s">
        <v>1283</v>
      </c>
      <c r="D33" s="310">
        <v>4.8</v>
      </c>
      <c r="E33" s="306" t="s">
        <v>1239</v>
      </c>
      <c r="F33" s="308">
        <v>3.8769230769230769</v>
      </c>
      <c r="G33" s="313"/>
    </row>
    <row r="34" spans="1:7" customFormat="1" ht="142.5" customHeight="1">
      <c r="A34" s="400">
        <v>3</v>
      </c>
      <c r="B34" s="401" t="s">
        <v>1284</v>
      </c>
      <c r="C34" s="312" t="s">
        <v>1285</v>
      </c>
      <c r="D34" s="310">
        <v>23.446153846153848</v>
      </c>
      <c r="E34" s="306" t="s">
        <v>1176</v>
      </c>
      <c r="F34" s="308">
        <v>17.53846153846154</v>
      </c>
      <c r="G34" s="313"/>
    </row>
    <row r="35" spans="1:7" customFormat="1" ht="116.25" customHeight="1">
      <c r="A35" s="309">
        <v>4</v>
      </c>
      <c r="B35" s="306" t="s">
        <v>1286</v>
      </c>
      <c r="C35" s="306" t="s">
        <v>1287</v>
      </c>
      <c r="D35" s="310">
        <v>49.476923076923072</v>
      </c>
      <c r="E35" s="306" t="s">
        <v>1176</v>
      </c>
      <c r="F35" s="308">
        <v>25.846153846153847</v>
      </c>
      <c r="G35" s="313"/>
    </row>
    <row r="36" spans="1:7" ht="40.5" customHeight="1">
      <c r="A36" s="1094" t="s">
        <v>1288</v>
      </c>
      <c r="B36" s="1094"/>
      <c r="C36" s="1094" t="s">
        <v>1265</v>
      </c>
      <c r="D36" s="1095"/>
      <c r="E36" s="1094"/>
      <c r="F36" s="1095"/>
      <c r="G36" s="1094"/>
    </row>
    <row r="37" spans="1:7" ht="35.25" customHeight="1">
      <c r="A37" s="304" t="s">
        <v>1229</v>
      </c>
      <c r="B37" s="304" t="s">
        <v>1230</v>
      </c>
      <c r="C37" s="304" t="s">
        <v>1231</v>
      </c>
      <c r="D37" s="303" t="s">
        <v>1172</v>
      </c>
      <c r="E37" s="304" t="s">
        <v>1173</v>
      </c>
      <c r="F37" s="305" t="s">
        <v>1174</v>
      </c>
      <c r="G37" s="304" t="s">
        <v>1233</v>
      </c>
    </row>
    <row r="38" spans="1:7" customFormat="1" ht="86.25" customHeight="1">
      <c r="A38" s="309">
        <v>1</v>
      </c>
      <c r="B38" s="395" t="s">
        <v>1289</v>
      </c>
      <c r="C38" s="312" t="s">
        <v>1290</v>
      </c>
      <c r="D38" s="310">
        <v>12</v>
      </c>
      <c r="E38" s="306" t="s">
        <v>1239</v>
      </c>
      <c r="F38" s="391">
        <v>9.01</v>
      </c>
      <c r="G38" s="313"/>
    </row>
    <row r="39" spans="1:7" customFormat="1" ht="88.5" customHeight="1">
      <c r="A39" s="309">
        <v>2</v>
      </c>
      <c r="B39" s="395" t="s">
        <v>1291</v>
      </c>
      <c r="C39" s="312" t="s">
        <v>1292</v>
      </c>
      <c r="D39" s="310">
        <v>16</v>
      </c>
      <c r="E39" s="306" t="s">
        <v>1239</v>
      </c>
      <c r="F39" s="391">
        <v>14.65</v>
      </c>
      <c r="G39" s="313"/>
    </row>
    <row r="40" spans="1:7" customFormat="1" ht="182.25" customHeight="1">
      <c r="A40" s="309">
        <v>3</v>
      </c>
      <c r="B40" s="306" t="s">
        <v>1293</v>
      </c>
      <c r="C40" s="312" t="s">
        <v>1294</v>
      </c>
      <c r="D40" s="310">
        <v>29.53846153846154</v>
      </c>
      <c r="E40" s="306" t="s">
        <v>1176</v>
      </c>
      <c r="F40" s="308">
        <v>19.384615384615383</v>
      </c>
      <c r="G40" s="313"/>
    </row>
    <row r="41" spans="1:7" ht="30" customHeight="1">
      <c r="A41" s="1092" t="s">
        <v>1295</v>
      </c>
      <c r="B41" s="1093"/>
      <c r="C41" s="1094" t="s">
        <v>1296</v>
      </c>
      <c r="D41" s="1095"/>
      <c r="E41" s="1094"/>
      <c r="F41" s="1095"/>
      <c r="G41" s="1094"/>
    </row>
    <row r="42" spans="1:7" ht="30" customHeight="1">
      <c r="A42" s="304" t="s">
        <v>1229</v>
      </c>
      <c r="B42" s="304" t="s">
        <v>1230</v>
      </c>
      <c r="C42" s="304" t="s">
        <v>1231</v>
      </c>
      <c r="D42" s="303" t="s">
        <v>1172</v>
      </c>
      <c r="E42" s="304" t="s">
        <v>1173</v>
      </c>
      <c r="F42" s="305" t="s">
        <v>1174</v>
      </c>
      <c r="G42" s="304" t="s">
        <v>1233</v>
      </c>
    </row>
    <row r="43" spans="1:7" ht="90" customHeight="1">
      <c r="A43" s="402">
        <v>1</v>
      </c>
      <c r="B43" s="402" t="s">
        <v>1297</v>
      </c>
      <c r="C43" s="403" t="s">
        <v>1298</v>
      </c>
      <c r="D43" s="404">
        <v>1198.8</v>
      </c>
      <c r="E43" s="405" t="s">
        <v>1299</v>
      </c>
      <c r="F43" s="406">
        <v>718.8</v>
      </c>
      <c r="G43" s="407"/>
    </row>
    <row r="44" spans="1:7" ht="93.75" customHeight="1">
      <c r="A44" s="402">
        <v>2</v>
      </c>
      <c r="B44" s="408" t="s">
        <v>1300</v>
      </c>
      <c r="C44" s="403" t="s">
        <v>1301</v>
      </c>
      <c r="D44" s="404">
        <v>418.8</v>
      </c>
      <c r="E44" s="405" t="s">
        <v>1299</v>
      </c>
      <c r="F44" s="406">
        <v>154.79999999999998</v>
      </c>
      <c r="G44" s="407"/>
    </row>
    <row r="45" spans="1:7" ht="77.25" customHeight="1">
      <c r="A45" s="402">
        <v>3</v>
      </c>
      <c r="B45" s="408" t="s">
        <v>1302</v>
      </c>
      <c r="C45" s="403" t="s">
        <v>1303</v>
      </c>
      <c r="D45" s="404">
        <v>538.79999999999995</v>
      </c>
      <c r="E45" s="405" t="s">
        <v>1299</v>
      </c>
      <c r="F45" s="406">
        <v>322.8</v>
      </c>
      <c r="G45" s="407"/>
    </row>
    <row r="46" spans="1:7" ht="71.25" customHeight="1">
      <c r="A46" s="402">
        <v>4</v>
      </c>
      <c r="B46" s="408" t="s">
        <v>1304</v>
      </c>
      <c r="C46" s="403" t="s">
        <v>1305</v>
      </c>
      <c r="D46" s="404">
        <v>1054.8</v>
      </c>
      <c r="E46" s="405" t="s">
        <v>1299</v>
      </c>
      <c r="F46" s="406">
        <v>634.79999999999995</v>
      </c>
      <c r="G46" s="407"/>
    </row>
    <row r="47" spans="1:7" ht="111" customHeight="1">
      <c r="A47" s="402">
        <v>5</v>
      </c>
      <c r="B47" s="402" t="s">
        <v>1306</v>
      </c>
      <c r="C47" s="403" t="s">
        <v>1307</v>
      </c>
      <c r="D47" s="404">
        <v>2158.7999999999997</v>
      </c>
      <c r="E47" s="405" t="s">
        <v>1308</v>
      </c>
      <c r="F47" s="406">
        <v>1318.8</v>
      </c>
      <c r="G47" s="407"/>
    </row>
    <row r="48" spans="1:7" customFormat="1" ht="84.75" customHeight="1">
      <c r="A48" s="402">
        <v>6</v>
      </c>
      <c r="B48" s="397" t="s">
        <v>1309</v>
      </c>
      <c r="C48" s="309" t="s">
        <v>1310</v>
      </c>
      <c r="D48" s="310">
        <v>1384.6153846153845</v>
      </c>
      <c r="E48" s="306" t="s">
        <v>1311</v>
      </c>
      <c r="F48" s="308">
        <v>1107.6923076923076</v>
      </c>
      <c r="G48" s="313"/>
    </row>
    <row r="49" spans="1:7" customFormat="1" ht="91.5" customHeight="1">
      <c r="A49" s="402">
        <v>7</v>
      </c>
      <c r="B49" s="397" t="s">
        <v>1312</v>
      </c>
      <c r="C49" s="309" t="s">
        <v>1310</v>
      </c>
      <c r="D49" s="310">
        <v>1070.7692307692307</v>
      </c>
      <c r="E49" s="306" t="s">
        <v>1311</v>
      </c>
      <c r="F49" s="308">
        <v>701.53846153846155</v>
      </c>
      <c r="G49" s="313"/>
    </row>
    <row r="50" spans="1:7" customFormat="1" ht="89.25" customHeight="1">
      <c r="A50" s="402">
        <v>8</v>
      </c>
      <c r="B50" s="309" t="s">
        <v>1313</v>
      </c>
      <c r="C50" s="309" t="s">
        <v>1310</v>
      </c>
      <c r="D50" s="310">
        <v>1569.2307692307693</v>
      </c>
      <c r="E50" s="306" t="s">
        <v>1311</v>
      </c>
      <c r="F50" s="308">
        <v>1015.3846153846154</v>
      </c>
      <c r="G50" s="313"/>
    </row>
    <row r="51" spans="1:7" customFormat="1" ht="174.75" customHeight="1">
      <c r="A51" s="409">
        <v>9</v>
      </c>
      <c r="B51" s="410" t="s">
        <v>1314</v>
      </c>
      <c r="C51" s="312" t="s">
        <v>1315</v>
      </c>
      <c r="D51" s="310">
        <v>54.830769230769228</v>
      </c>
      <c r="E51" s="306" t="s">
        <v>1176</v>
      </c>
      <c r="F51" s="308">
        <v>34.707692307692305</v>
      </c>
      <c r="G51" s="313"/>
    </row>
    <row r="52" spans="1:7" ht="39" customHeight="1">
      <c r="A52" s="1094" t="s">
        <v>1316</v>
      </c>
      <c r="B52" s="1094"/>
      <c r="C52" s="1094" t="s">
        <v>1317</v>
      </c>
      <c r="D52" s="1095"/>
      <c r="E52" s="1094"/>
      <c r="F52" s="1095"/>
      <c r="G52" s="1094"/>
    </row>
    <row r="53" spans="1:7" ht="33.75" customHeight="1">
      <c r="A53" s="304" t="s">
        <v>1229</v>
      </c>
      <c r="B53" s="304" t="s">
        <v>1230</v>
      </c>
      <c r="C53" s="304" t="s">
        <v>1231</v>
      </c>
      <c r="D53" s="303" t="s">
        <v>1172</v>
      </c>
      <c r="E53" s="304" t="s">
        <v>1173</v>
      </c>
      <c r="F53" s="305" t="s">
        <v>1174</v>
      </c>
      <c r="G53" s="304" t="s">
        <v>1233</v>
      </c>
    </row>
    <row r="54" spans="1:7" customFormat="1" ht="96" customHeight="1">
      <c r="A54" s="309">
        <v>1</v>
      </c>
      <c r="B54" s="309" t="s">
        <v>1318</v>
      </c>
      <c r="C54" s="309" t="s">
        <v>1319</v>
      </c>
      <c r="D54" s="310">
        <v>144</v>
      </c>
      <c r="E54" s="306" t="s">
        <v>1320</v>
      </c>
      <c r="F54" s="308">
        <v>129.23076923076923</v>
      </c>
      <c r="G54" s="313"/>
    </row>
    <row r="55" spans="1:7" s="414" customFormat="1" ht="29.25" customHeight="1">
      <c r="A55" s="1096" t="s">
        <v>1321</v>
      </c>
      <c r="B55" s="1097"/>
      <c r="C55" s="1090" t="s">
        <v>1322</v>
      </c>
      <c r="D55" s="1091"/>
      <c r="E55" s="1090"/>
      <c r="F55" s="1091"/>
      <c r="G55" s="1090"/>
    </row>
    <row r="56" spans="1:7" s="414" customFormat="1" ht="31.5" customHeight="1">
      <c r="A56" s="302" t="s">
        <v>1169</v>
      </c>
      <c r="B56" s="302" t="s">
        <v>1170</v>
      </c>
      <c r="C56" s="302" t="s">
        <v>1171</v>
      </c>
      <c r="D56" s="303" t="s">
        <v>1172</v>
      </c>
      <c r="E56" s="304" t="s">
        <v>1173</v>
      </c>
      <c r="F56" s="305" t="s">
        <v>1174</v>
      </c>
      <c r="G56" s="302" t="s">
        <v>1175</v>
      </c>
    </row>
    <row r="57" spans="1:7" s="414" customFormat="1" ht="193.5" customHeight="1">
      <c r="A57" s="309">
        <v>1</v>
      </c>
      <c r="B57" s="309" t="s">
        <v>1323</v>
      </c>
      <c r="C57" s="307" t="s">
        <v>1324</v>
      </c>
      <c r="D57" s="310">
        <v>2953.8461538461538</v>
      </c>
      <c r="E57" s="309" t="s">
        <v>1325</v>
      </c>
      <c r="F57" s="310">
        <v>406.15384615384613</v>
      </c>
      <c r="G57" s="307"/>
    </row>
    <row r="58" spans="1:7" s="414" customFormat="1" ht="42.75" customHeight="1">
      <c r="A58" s="1088" t="s">
        <v>1326</v>
      </c>
      <c r="B58" s="1089"/>
      <c r="C58" s="1090" t="s">
        <v>1327</v>
      </c>
      <c r="D58" s="1091"/>
      <c r="E58" s="1090"/>
      <c r="F58" s="1091"/>
      <c r="G58" s="1090"/>
    </row>
    <row r="59" spans="1:7" s="414" customFormat="1" ht="30" customHeight="1">
      <c r="A59" s="302" t="s">
        <v>1169</v>
      </c>
      <c r="B59" s="302" t="s">
        <v>1170</v>
      </c>
      <c r="C59" s="302" t="s">
        <v>1171</v>
      </c>
      <c r="D59" s="303" t="s">
        <v>1172</v>
      </c>
      <c r="E59" s="304" t="s">
        <v>1173</v>
      </c>
      <c r="F59" s="305" t="s">
        <v>1174</v>
      </c>
      <c r="G59" s="302" t="s">
        <v>1175</v>
      </c>
    </row>
    <row r="60" spans="1:7" s="414" customFormat="1" ht="226.5" customHeight="1">
      <c r="A60" s="309">
        <v>1</v>
      </c>
      <c r="B60" s="309" t="s">
        <v>1328</v>
      </c>
      <c r="C60" s="307" t="s">
        <v>1329</v>
      </c>
      <c r="D60" s="310">
        <v>1635.6923076923076</v>
      </c>
      <c r="E60" s="309" t="s">
        <v>1325</v>
      </c>
      <c r="F60" s="411">
        <v>904.61538461538464</v>
      </c>
      <c r="G60" s="307"/>
    </row>
  </sheetData>
  <mergeCells count="20">
    <mergeCell ref="A4:G4"/>
    <mergeCell ref="A5:B5"/>
    <mergeCell ref="C5:G5"/>
    <mergeCell ref="G8:G11"/>
    <mergeCell ref="A12:B12"/>
    <mergeCell ref="C12:G12"/>
    <mergeCell ref="A21:B21"/>
    <mergeCell ref="C21:G21"/>
    <mergeCell ref="A30:B30"/>
    <mergeCell ref="C30:G30"/>
    <mergeCell ref="A36:B36"/>
    <mergeCell ref="C36:G36"/>
    <mergeCell ref="A58:B58"/>
    <mergeCell ref="C58:G58"/>
    <mergeCell ref="A41:B41"/>
    <mergeCell ref="C41:G41"/>
    <mergeCell ref="A52:B52"/>
    <mergeCell ref="C52:G52"/>
    <mergeCell ref="A55:B55"/>
    <mergeCell ref="C55:G55"/>
  </mergeCells>
  <pageMargins left="0.25" right="0.25" top="0.75" bottom="0.75" header="0.3" footer="0.3"/>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249977111117893"/>
  </sheetPr>
  <dimension ref="A1:AL479"/>
  <sheetViews>
    <sheetView showGridLines="0" topLeftCell="A37" zoomScale="90" zoomScaleNormal="90" zoomScaleSheetLayoutView="90" workbookViewId="0">
      <selection activeCell="J8" sqref="J8"/>
    </sheetView>
  </sheetViews>
  <sheetFormatPr baseColWidth="10" defaultColWidth="8.77734375" defaultRowHeight="13.8"/>
  <cols>
    <col min="1" max="1" width="3.21875" style="109" customWidth="1"/>
    <col min="2" max="2" width="55.21875" style="109" bestFit="1" customWidth="1"/>
    <col min="3" max="3" width="3.44140625" style="109" customWidth="1"/>
    <col min="4" max="4" width="9.33203125" style="208" customWidth="1"/>
    <col min="5" max="6" width="9.109375" style="109" bestFit="1" customWidth="1"/>
    <col min="7" max="7" width="8.88671875" style="109" bestFit="1" customWidth="1"/>
    <col min="8" max="8" width="9.5546875" style="208" customWidth="1"/>
    <col min="9" max="10" width="9.109375" style="109" bestFit="1" customWidth="1"/>
    <col min="11" max="11" width="8.44140625" style="109" customWidth="1"/>
    <col min="12" max="12" width="3.77734375" style="109" customWidth="1"/>
    <col min="13" max="13" width="8.77734375" style="109"/>
    <col min="14" max="20" width="0" style="109" hidden="1" customWidth="1"/>
    <col min="21" max="22" width="8.77734375" style="109"/>
    <col min="23" max="23" width="25.109375" style="109" customWidth="1"/>
    <col min="24" max="24" width="4.21875" style="109" customWidth="1"/>
    <col min="25" max="30" width="15.6640625" style="350" customWidth="1"/>
    <col min="31" max="16384" width="8.77734375" style="109"/>
  </cols>
  <sheetData>
    <row r="1" spans="1:38" s="421" customFormat="1" ht="18">
      <c r="A1" s="419" t="s">
        <v>1331</v>
      </c>
      <c r="B1" s="420"/>
      <c r="C1" s="420"/>
      <c r="D1" s="419"/>
      <c r="E1" s="420"/>
      <c r="F1" s="420"/>
      <c r="G1" s="420"/>
      <c r="H1" s="419"/>
      <c r="I1" s="420"/>
      <c r="J1" s="420"/>
      <c r="K1" s="419"/>
      <c r="L1" s="420"/>
      <c r="M1" s="419"/>
      <c r="N1" s="420"/>
      <c r="O1" s="420"/>
      <c r="P1" s="419"/>
      <c r="Q1" s="420"/>
      <c r="R1" s="420"/>
      <c r="S1" s="419"/>
      <c r="T1" s="420"/>
      <c r="U1" s="420"/>
      <c r="V1" s="419"/>
      <c r="W1" s="420"/>
      <c r="X1" s="420"/>
      <c r="Y1" s="419"/>
      <c r="Z1" s="420"/>
      <c r="AA1" s="419"/>
      <c r="AB1" s="420"/>
      <c r="AC1" s="420"/>
      <c r="AD1" s="419"/>
      <c r="AE1" s="420"/>
      <c r="AF1" s="420"/>
      <c r="AG1" s="419"/>
      <c r="AH1" s="420"/>
      <c r="AI1" s="420"/>
      <c r="AJ1" s="419"/>
      <c r="AK1" s="420"/>
      <c r="AL1" s="420"/>
    </row>
    <row r="2" spans="1:38" s="218" customFormat="1">
      <c r="A2" s="244" t="s">
        <v>1333</v>
      </c>
      <c r="B2" s="240"/>
      <c r="C2" s="241"/>
      <c r="D2" s="242"/>
      <c r="E2" s="242"/>
      <c r="F2" s="242"/>
      <c r="G2" s="242"/>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row>
    <row r="3" spans="1:38" s="3" customFormat="1" ht="14.4">
      <c r="W3" s="218"/>
      <c r="X3" s="218"/>
      <c r="Y3" s="362"/>
      <c r="Z3" s="362"/>
      <c r="AA3" s="362"/>
      <c r="AB3" s="362"/>
      <c r="AC3" s="362"/>
      <c r="AD3" s="362"/>
    </row>
    <row r="4" spans="1:38" s="3" customFormat="1" ht="14.4">
      <c r="W4" s="218"/>
      <c r="X4" s="218"/>
      <c r="Y4" s="362"/>
      <c r="Z4" s="362"/>
      <c r="AA4" s="362"/>
      <c r="AB4" s="362"/>
      <c r="AC4" s="362"/>
      <c r="AD4" s="362"/>
    </row>
    <row r="5" spans="1:38" s="3" customFormat="1" ht="14.4">
      <c r="W5" s="218"/>
      <c r="X5" s="218"/>
      <c r="Y5" s="362"/>
      <c r="Z5" s="362"/>
      <c r="AA5" s="362"/>
      <c r="AB5" s="362"/>
      <c r="AC5" s="362"/>
      <c r="AD5" s="362"/>
    </row>
    <row r="6" spans="1:38" s="3" customFormat="1" ht="14.4">
      <c r="W6" s="218"/>
      <c r="X6" s="218"/>
      <c r="Y6" s="362"/>
      <c r="Z6" s="362"/>
      <c r="AA6" s="362"/>
      <c r="AB6" s="362"/>
      <c r="AC6" s="362"/>
      <c r="AD6" s="362"/>
    </row>
    <row r="7" spans="1:38" s="3" customFormat="1" ht="14.4">
      <c r="W7" s="218"/>
      <c r="X7" s="218"/>
      <c r="Y7" s="362"/>
      <c r="Z7" s="362"/>
      <c r="AA7" s="362"/>
      <c r="AB7" s="362"/>
      <c r="AC7" s="362"/>
      <c r="AD7" s="362"/>
    </row>
    <row r="8" spans="1:38" s="3" customFormat="1" ht="14.4">
      <c r="W8" s="218"/>
      <c r="X8" s="218"/>
      <c r="Y8" s="362"/>
      <c r="Z8" s="362"/>
      <c r="AA8" s="362"/>
      <c r="AB8" s="362"/>
      <c r="AC8" s="362"/>
      <c r="AD8" s="362"/>
    </row>
    <row r="9" spans="1:38" s="3" customFormat="1" ht="14.4">
      <c r="W9" s="218"/>
      <c r="X9" s="218"/>
      <c r="Y9" s="362"/>
      <c r="Z9" s="362"/>
      <c r="AA9" s="362"/>
      <c r="AB9" s="362"/>
      <c r="AC9" s="362"/>
      <c r="AD9" s="362"/>
    </row>
    <row r="10" spans="1:38" s="3" customFormat="1" ht="14.4">
      <c r="W10" s="218"/>
      <c r="X10" s="218"/>
      <c r="Y10" s="362"/>
      <c r="Z10" s="362"/>
      <c r="AA10" s="362"/>
      <c r="AB10" s="362"/>
      <c r="AC10" s="362"/>
      <c r="AD10" s="362"/>
    </row>
    <row r="11" spans="1:38" s="3" customFormat="1" ht="14.4">
      <c r="W11" s="218"/>
      <c r="X11" s="218"/>
      <c r="Y11" s="362"/>
      <c r="Z11" s="362"/>
      <c r="AA11" s="362"/>
      <c r="AB11" s="362"/>
      <c r="AC11" s="362"/>
      <c r="AD11" s="362"/>
    </row>
    <row r="12" spans="1:38" s="3" customFormat="1" ht="14.4">
      <c r="W12" s="218"/>
      <c r="X12" s="218"/>
      <c r="Y12" s="362"/>
      <c r="Z12" s="362"/>
      <c r="AA12" s="362"/>
      <c r="AB12" s="362"/>
      <c r="AC12" s="362"/>
      <c r="AD12" s="362"/>
    </row>
    <row r="13" spans="1:38" s="3" customFormat="1" ht="132" customHeight="1">
      <c r="A13" s="1132" t="s">
        <v>1086</v>
      </c>
      <c r="B13" s="1132"/>
      <c r="C13" s="1132"/>
      <c r="D13" s="1132"/>
      <c r="E13" s="1132"/>
      <c r="F13" s="1132"/>
      <c r="G13" s="1132"/>
      <c r="H13" s="1132"/>
      <c r="I13" s="1132"/>
      <c r="J13" s="209"/>
      <c r="W13" s="218"/>
      <c r="X13" s="218"/>
      <c r="Y13" s="362"/>
      <c r="Z13" s="362"/>
      <c r="AA13" s="362"/>
      <c r="AB13" s="362"/>
      <c r="AC13" s="362"/>
      <c r="AD13" s="362"/>
    </row>
    <row r="14" spans="1:38" s="3" customFormat="1" ht="28.8">
      <c r="A14" s="1133" t="s">
        <v>1097</v>
      </c>
      <c r="B14" s="1133"/>
      <c r="C14" s="1133"/>
      <c r="D14" s="1133"/>
      <c r="E14" s="1133"/>
      <c r="F14" s="1133"/>
      <c r="G14" s="1133"/>
      <c r="H14" s="1133"/>
      <c r="I14" s="1133"/>
      <c r="J14" s="210"/>
      <c r="W14" s="218"/>
      <c r="X14" s="218"/>
      <c r="Y14" s="362"/>
      <c r="Z14" s="362"/>
      <c r="AA14" s="362"/>
      <c r="AB14" s="362"/>
      <c r="AC14" s="362"/>
      <c r="AD14" s="362"/>
    </row>
    <row r="15" spans="1:38" ht="21">
      <c r="A15" s="1175" t="s">
        <v>1096</v>
      </c>
      <c r="B15" s="1175"/>
      <c r="C15" s="1175"/>
      <c r="D15" s="1175"/>
      <c r="E15" s="1175"/>
      <c r="F15" s="1175"/>
      <c r="G15" s="1175"/>
      <c r="H15" s="1175"/>
      <c r="I15" s="1175"/>
      <c r="J15" s="1175"/>
      <c r="K15" s="1175"/>
    </row>
    <row r="16" spans="1:38" ht="15.6">
      <c r="A16" s="110"/>
      <c r="B16" s="111"/>
      <c r="C16" s="111"/>
      <c r="D16" s="111"/>
      <c r="E16" s="111"/>
      <c r="F16" s="111"/>
      <c r="G16" s="111"/>
      <c r="H16" s="111"/>
      <c r="I16" s="111"/>
      <c r="J16" s="111"/>
      <c r="K16" s="111"/>
    </row>
    <row r="17" spans="1:35" ht="15.6">
      <c r="A17" s="1176" t="s">
        <v>774</v>
      </c>
      <c r="B17" s="1176"/>
      <c r="C17" s="1176"/>
      <c r="D17" s="1176"/>
      <c r="E17" s="1176"/>
      <c r="F17" s="1176"/>
      <c r="G17" s="1176"/>
      <c r="H17" s="1176"/>
      <c r="I17" s="1176"/>
      <c r="J17" s="1176"/>
      <c r="K17" s="1176"/>
    </row>
    <row r="18" spans="1:35" ht="15.6">
      <c r="A18" s="111"/>
      <c r="B18" s="111"/>
      <c r="C18" s="111"/>
      <c r="D18" s="111"/>
      <c r="E18" s="111"/>
      <c r="F18" s="111"/>
      <c r="G18" s="111"/>
      <c r="H18" s="111"/>
      <c r="I18" s="111"/>
      <c r="J18" s="111"/>
      <c r="K18" s="111"/>
    </row>
    <row r="19" spans="1:35" ht="15.6">
      <c r="A19" s="112"/>
      <c r="B19" s="1177" t="s">
        <v>775</v>
      </c>
      <c r="C19" s="1178"/>
      <c r="D19" s="113" t="s">
        <v>776</v>
      </c>
      <c r="E19" s="1162" t="s">
        <v>777</v>
      </c>
      <c r="F19" s="1162"/>
      <c r="G19" s="1162"/>
      <c r="H19" s="1162"/>
      <c r="I19" s="1162"/>
      <c r="J19" s="1162"/>
      <c r="K19" s="1162"/>
    </row>
    <row r="20" spans="1:35" ht="15.6">
      <c r="A20" s="112"/>
      <c r="B20" s="114"/>
      <c r="C20" s="114"/>
      <c r="D20" s="113" t="s">
        <v>778</v>
      </c>
      <c r="E20" s="1162" t="s">
        <v>779</v>
      </c>
      <c r="F20" s="1162"/>
      <c r="G20" s="1162"/>
      <c r="H20" s="1162"/>
      <c r="I20" s="1162"/>
      <c r="J20" s="1162"/>
      <c r="K20" s="1162"/>
    </row>
    <row r="21" spans="1:35" ht="15.6">
      <c r="A21" s="112"/>
      <c r="B21" s="114"/>
      <c r="C21" s="114"/>
      <c r="D21" s="113" t="s">
        <v>780</v>
      </c>
      <c r="E21" s="1162" t="s">
        <v>781</v>
      </c>
      <c r="F21" s="1162"/>
      <c r="G21" s="1162"/>
      <c r="H21" s="1162"/>
      <c r="I21" s="1162"/>
      <c r="J21" s="1162"/>
      <c r="K21" s="1162"/>
    </row>
    <row r="22" spans="1:35" ht="15.6">
      <c r="A22" s="112"/>
      <c r="B22" s="114"/>
      <c r="C22" s="114"/>
      <c r="D22" s="113" t="s">
        <v>782</v>
      </c>
      <c r="E22" s="1162" t="s">
        <v>783</v>
      </c>
      <c r="F22" s="1162"/>
      <c r="G22" s="1162"/>
      <c r="H22" s="1162"/>
      <c r="I22" s="1162"/>
      <c r="J22" s="1162"/>
      <c r="K22" s="1162"/>
    </row>
    <row r="23" spans="1:35" ht="15.6">
      <c r="A23" s="112"/>
      <c r="B23" s="114"/>
      <c r="C23" s="114"/>
      <c r="D23" s="113" t="s">
        <v>784</v>
      </c>
      <c r="E23" s="1162" t="s">
        <v>785</v>
      </c>
      <c r="F23" s="1162"/>
      <c r="G23" s="1162"/>
      <c r="H23" s="1162"/>
      <c r="I23" s="1162"/>
      <c r="J23" s="1162"/>
      <c r="K23" s="1162"/>
    </row>
    <row r="24" spans="1:35" ht="15.6">
      <c r="A24" s="112"/>
      <c r="B24" s="114"/>
      <c r="C24" s="114"/>
      <c r="D24" s="113" t="s">
        <v>786</v>
      </c>
      <c r="E24" s="1162" t="s">
        <v>787</v>
      </c>
      <c r="F24" s="1162"/>
      <c r="G24" s="1162"/>
      <c r="H24" s="1162"/>
      <c r="I24" s="1162"/>
      <c r="J24" s="1162"/>
      <c r="K24" s="1162"/>
    </row>
    <row r="25" spans="1:35" ht="16.2" thickBot="1">
      <c r="A25" s="112"/>
      <c r="B25" s="114"/>
      <c r="C25" s="114"/>
      <c r="D25" s="114"/>
      <c r="E25" s="115"/>
      <c r="F25" s="115"/>
      <c r="G25" s="115"/>
      <c r="H25" s="115"/>
      <c r="I25" s="115"/>
      <c r="J25" s="115"/>
      <c r="K25" s="115"/>
    </row>
    <row r="26" spans="1:35" ht="14.4" thickBot="1">
      <c r="A26" s="116"/>
      <c r="B26" s="1164" t="s">
        <v>760</v>
      </c>
      <c r="C26" s="1164" t="s">
        <v>761</v>
      </c>
      <c r="D26" s="1167" t="s">
        <v>1219</v>
      </c>
      <c r="E26" s="1168"/>
      <c r="F26" s="1168"/>
      <c r="G26" s="1169"/>
      <c r="H26" s="1167" t="s">
        <v>1220</v>
      </c>
      <c r="I26" s="1168"/>
      <c r="J26" s="1168"/>
      <c r="K26" s="1169"/>
      <c r="T26" s="322"/>
      <c r="U26" s="322"/>
      <c r="V26" s="322"/>
      <c r="W26" s="323"/>
      <c r="X26" s="323"/>
      <c r="Y26" s="351"/>
      <c r="Z26" s="351"/>
      <c r="AA26" s="351"/>
      <c r="AB26" s="351"/>
      <c r="AC26" s="351"/>
      <c r="AD26" s="351"/>
      <c r="AE26" s="323"/>
      <c r="AF26" s="323"/>
      <c r="AG26" s="322"/>
      <c r="AH26" s="322"/>
      <c r="AI26" s="322"/>
    </row>
    <row r="27" spans="1:35" ht="14.4" thickBot="1">
      <c r="A27" s="1158"/>
      <c r="B27" s="1165"/>
      <c r="C27" s="1165"/>
      <c r="D27" s="1170" t="s">
        <v>758</v>
      </c>
      <c r="E27" s="1172" t="s">
        <v>759</v>
      </c>
      <c r="F27" s="1173"/>
      <c r="G27" s="1174"/>
      <c r="H27" s="1170" t="s">
        <v>758</v>
      </c>
      <c r="I27" s="1172" t="s">
        <v>759</v>
      </c>
      <c r="J27" s="1173"/>
      <c r="K27" s="1174"/>
      <c r="T27" s="322"/>
      <c r="U27" s="322"/>
      <c r="V27" s="322"/>
      <c r="X27" s="324"/>
      <c r="Y27" s="351"/>
      <c r="Z27" s="351"/>
      <c r="AA27" s="351"/>
      <c r="AB27" s="351"/>
      <c r="AC27" s="351"/>
      <c r="AD27" s="351"/>
      <c r="AE27" s="324"/>
      <c r="AF27" s="323"/>
      <c r="AG27" s="322"/>
      <c r="AH27" s="322"/>
      <c r="AI27" s="322"/>
    </row>
    <row r="28" spans="1:35" ht="14.4" thickBot="1">
      <c r="A28" s="1158"/>
      <c r="B28" s="1166"/>
      <c r="C28" s="1166"/>
      <c r="D28" s="1171"/>
      <c r="E28" s="117" t="s">
        <v>762</v>
      </c>
      <c r="F28" s="117" t="s">
        <v>763</v>
      </c>
      <c r="G28" s="117" t="s">
        <v>764</v>
      </c>
      <c r="H28" s="1171"/>
      <c r="I28" s="117" t="s">
        <v>762</v>
      </c>
      <c r="J28" s="117" t="s">
        <v>763</v>
      </c>
      <c r="K28" s="117" t="s">
        <v>764</v>
      </c>
      <c r="T28" s="322"/>
      <c r="U28" s="219"/>
      <c r="V28" s="219"/>
      <c r="W28" s="327"/>
      <c r="X28" s="327"/>
      <c r="Y28" s="363"/>
      <c r="Z28" s="363"/>
      <c r="AA28" s="363"/>
      <c r="AB28" s="363"/>
      <c r="AC28" s="363"/>
      <c r="AD28" s="363"/>
      <c r="AE28" s="325"/>
      <c r="AF28" s="220"/>
      <c r="AG28" s="322"/>
      <c r="AH28" s="322"/>
      <c r="AI28" s="322"/>
    </row>
    <row r="29" spans="1:35" ht="14.4">
      <c r="A29" s="118"/>
      <c r="B29" s="119"/>
      <c r="C29" s="119"/>
      <c r="D29" s="120"/>
      <c r="E29" s="121"/>
      <c r="F29" s="121"/>
      <c r="G29" s="121"/>
      <c r="H29" s="120"/>
      <c r="I29" s="121"/>
      <c r="J29" s="121"/>
      <c r="K29" s="121"/>
      <c r="T29" s="322"/>
      <c r="U29" s="219"/>
      <c r="V29" s="219"/>
      <c r="AC29" s="353"/>
      <c r="AD29" s="364"/>
      <c r="AE29" s="326"/>
      <c r="AF29" s="220"/>
      <c r="AG29" s="322"/>
      <c r="AH29" s="322"/>
      <c r="AI29" s="322"/>
    </row>
    <row r="30" spans="1:35" ht="18.600000000000001" thickBot="1">
      <c r="A30" s="122"/>
      <c r="B30" s="1163" t="s">
        <v>788</v>
      </c>
      <c r="C30" s="1163"/>
      <c r="D30" s="1163"/>
      <c r="E30" s="1163"/>
      <c r="F30" s="1163"/>
      <c r="G30" s="1163"/>
      <c r="H30" s="1163"/>
      <c r="I30" s="1163"/>
      <c r="J30" s="1163"/>
      <c r="K30" s="1163"/>
      <c r="T30" s="322"/>
      <c r="U30" s="322"/>
      <c r="V30" s="322"/>
      <c r="AC30" s="351"/>
      <c r="AD30" s="351"/>
      <c r="AE30" s="323"/>
      <c r="AF30" s="323"/>
      <c r="AG30" s="322"/>
      <c r="AH30" s="322"/>
      <c r="AI30" s="322"/>
    </row>
    <row r="31" spans="1:35" ht="18.600000000000001" thickBot="1">
      <c r="A31" s="122"/>
      <c r="B31" s="123"/>
      <c r="C31" s="123"/>
      <c r="D31" s="1135" t="s">
        <v>773</v>
      </c>
      <c r="E31" s="1136"/>
      <c r="F31" s="1136"/>
      <c r="G31" s="1137"/>
      <c r="H31" s="1123" t="s">
        <v>773</v>
      </c>
      <c r="I31" s="1124"/>
      <c r="J31" s="1124"/>
      <c r="K31" s="1125"/>
    </row>
    <row r="32" spans="1:35" s="159" customFormat="1">
      <c r="A32" s="124">
        <v>1</v>
      </c>
      <c r="B32" s="125" t="s">
        <v>789</v>
      </c>
      <c r="C32" s="126">
        <v>1</v>
      </c>
      <c r="D32" s="127">
        <v>158595</v>
      </c>
      <c r="E32" s="128">
        <v>118947</v>
      </c>
      <c r="F32" s="128">
        <v>99123</v>
      </c>
      <c r="G32" s="129">
        <v>59472</v>
      </c>
      <c r="H32" s="127">
        <v>168429</v>
      </c>
      <c r="I32" s="128">
        <v>126321</v>
      </c>
      <c r="J32" s="128">
        <v>105267</v>
      </c>
      <c r="K32" s="130">
        <v>63162</v>
      </c>
      <c r="L32" s="155"/>
      <c r="W32" s="109"/>
      <c r="X32" s="109"/>
      <c r="Y32" s="350"/>
      <c r="Z32" s="350"/>
      <c r="AA32" s="350"/>
      <c r="AB32" s="350"/>
      <c r="AC32" s="350"/>
      <c r="AD32" s="350"/>
    </row>
    <row r="33" spans="1:30" s="159" customFormat="1">
      <c r="A33" s="124"/>
      <c r="B33" s="131" t="s">
        <v>790</v>
      </c>
      <c r="C33" s="132">
        <v>2</v>
      </c>
      <c r="D33" s="133">
        <v>160977</v>
      </c>
      <c r="E33" s="134">
        <v>120732</v>
      </c>
      <c r="F33" s="134">
        <v>100611</v>
      </c>
      <c r="G33" s="135">
        <v>60366</v>
      </c>
      <c r="H33" s="133">
        <v>170958</v>
      </c>
      <c r="I33" s="134">
        <v>128220</v>
      </c>
      <c r="J33" s="134">
        <v>106848</v>
      </c>
      <c r="K33" s="136">
        <v>64110</v>
      </c>
      <c r="L33" s="155"/>
      <c r="W33" s="109"/>
      <c r="X33" s="109"/>
      <c r="Y33" s="350"/>
      <c r="Z33" s="350"/>
      <c r="AA33" s="350"/>
      <c r="AB33" s="350"/>
      <c r="AC33" s="350"/>
      <c r="AD33" s="350"/>
    </row>
    <row r="34" spans="1:30" s="159" customFormat="1">
      <c r="A34" s="124"/>
      <c r="B34" s="131" t="s">
        <v>791</v>
      </c>
      <c r="C34" s="132">
        <v>3</v>
      </c>
      <c r="D34" s="133">
        <v>163380</v>
      </c>
      <c r="E34" s="134">
        <v>122535</v>
      </c>
      <c r="F34" s="134">
        <v>102114</v>
      </c>
      <c r="G34" s="135">
        <v>61269</v>
      </c>
      <c r="H34" s="133">
        <v>173511</v>
      </c>
      <c r="I34" s="134">
        <v>130134</v>
      </c>
      <c r="J34" s="134">
        <v>108444</v>
      </c>
      <c r="K34" s="136">
        <v>65067</v>
      </c>
      <c r="L34" s="155"/>
      <c r="W34" s="109"/>
      <c r="X34" s="109"/>
      <c r="Y34" s="350"/>
      <c r="Z34" s="350"/>
      <c r="AA34" s="350"/>
      <c r="AB34" s="350"/>
      <c r="AC34" s="350"/>
      <c r="AD34" s="350"/>
    </row>
    <row r="35" spans="1:30" s="159" customFormat="1">
      <c r="A35" s="124"/>
      <c r="B35" s="131" t="s">
        <v>792</v>
      </c>
      <c r="C35" s="132">
        <v>4</v>
      </c>
      <c r="D35" s="133">
        <v>165837</v>
      </c>
      <c r="E35" s="134">
        <v>124377</v>
      </c>
      <c r="F35" s="134">
        <v>103647</v>
      </c>
      <c r="G35" s="135">
        <v>62190</v>
      </c>
      <c r="H35" s="133">
        <v>176118</v>
      </c>
      <c r="I35" s="134">
        <v>132090</v>
      </c>
      <c r="J35" s="134">
        <v>110073</v>
      </c>
      <c r="K35" s="136">
        <v>66045</v>
      </c>
      <c r="L35" s="155"/>
      <c r="W35" s="109"/>
      <c r="X35" s="109"/>
      <c r="Y35" s="350"/>
      <c r="Z35" s="350"/>
      <c r="AA35" s="350"/>
      <c r="AB35" s="350"/>
      <c r="AC35" s="350"/>
      <c r="AD35" s="350"/>
    </row>
    <row r="36" spans="1:30" s="159" customFormat="1">
      <c r="A36" s="124"/>
      <c r="B36" s="131" t="s">
        <v>793</v>
      </c>
      <c r="C36" s="132">
        <v>5</v>
      </c>
      <c r="D36" s="133">
        <v>168330</v>
      </c>
      <c r="E36" s="134">
        <v>126249</v>
      </c>
      <c r="F36" s="134">
        <v>105207</v>
      </c>
      <c r="G36" s="135">
        <v>63123</v>
      </c>
      <c r="H36" s="133">
        <v>178767</v>
      </c>
      <c r="I36" s="134">
        <v>134076</v>
      </c>
      <c r="J36" s="134">
        <v>111729</v>
      </c>
      <c r="K36" s="136">
        <v>67038</v>
      </c>
      <c r="L36" s="155"/>
      <c r="W36" s="109"/>
      <c r="X36" s="109"/>
      <c r="Y36" s="350"/>
      <c r="Z36" s="350"/>
      <c r="AA36" s="350"/>
      <c r="AB36" s="350"/>
      <c r="AC36" s="350"/>
      <c r="AD36" s="350"/>
    </row>
    <row r="37" spans="1:30" s="159" customFormat="1">
      <c r="A37" s="124"/>
      <c r="B37" s="131" t="s">
        <v>794</v>
      </c>
      <c r="C37" s="132">
        <v>6</v>
      </c>
      <c r="D37" s="133">
        <v>170844</v>
      </c>
      <c r="E37" s="134">
        <v>128133</v>
      </c>
      <c r="F37" s="134">
        <v>106779</v>
      </c>
      <c r="G37" s="135">
        <v>64068</v>
      </c>
      <c r="H37" s="133">
        <v>181437</v>
      </c>
      <c r="I37" s="134">
        <v>136077</v>
      </c>
      <c r="J37" s="134">
        <v>113397</v>
      </c>
      <c r="K37" s="136">
        <v>68040</v>
      </c>
      <c r="L37" s="155"/>
      <c r="W37" s="109"/>
      <c r="X37" s="109"/>
      <c r="Y37" s="350"/>
      <c r="Z37" s="350"/>
      <c r="AA37" s="350"/>
      <c r="AB37" s="350"/>
      <c r="AC37" s="350"/>
      <c r="AD37" s="350"/>
    </row>
    <row r="38" spans="1:30" s="159" customFormat="1">
      <c r="A38" s="124"/>
      <c r="B38" s="131" t="s">
        <v>795</v>
      </c>
      <c r="C38" s="132">
        <v>7</v>
      </c>
      <c r="D38" s="133">
        <v>173412</v>
      </c>
      <c r="E38" s="134">
        <v>130059</v>
      </c>
      <c r="F38" s="134">
        <v>108384</v>
      </c>
      <c r="G38" s="135">
        <v>65031</v>
      </c>
      <c r="H38" s="133">
        <v>184164</v>
      </c>
      <c r="I38" s="134">
        <v>138123</v>
      </c>
      <c r="J38" s="134">
        <v>115104</v>
      </c>
      <c r="K38" s="136">
        <v>69063</v>
      </c>
      <c r="L38" s="155"/>
      <c r="W38" s="109"/>
      <c r="X38" s="109"/>
      <c r="Y38" s="350"/>
      <c r="Z38" s="350"/>
      <c r="AA38" s="350"/>
      <c r="AB38" s="350"/>
      <c r="AC38" s="350"/>
      <c r="AD38" s="350"/>
    </row>
    <row r="39" spans="1:30" s="159" customFormat="1">
      <c r="A39" s="124"/>
      <c r="B39" s="131" t="s">
        <v>796</v>
      </c>
      <c r="C39" s="132">
        <v>8</v>
      </c>
      <c r="D39" s="133">
        <v>176007</v>
      </c>
      <c r="E39" s="134">
        <v>132006</v>
      </c>
      <c r="F39" s="134">
        <v>110004</v>
      </c>
      <c r="G39" s="135">
        <v>66003</v>
      </c>
      <c r="H39" s="133">
        <v>186918</v>
      </c>
      <c r="I39" s="134">
        <v>140190</v>
      </c>
      <c r="J39" s="134">
        <v>116823</v>
      </c>
      <c r="K39" s="136">
        <v>70095</v>
      </c>
      <c r="L39" s="155"/>
      <c r="W39" s="109"/>
      <c r="X39" s="109"/>
      <c r="Y39" s="350"/>
      <c r="Z39" s="350"/>
      <c r="AA39" s="350"/>
      <c r="AB39" s="350"/>
      <c r="AC39" s="350"/>
      <c r="AD39" s="350"/>
    </row>
    <row r="40" spans="1:30" s="159" customFormat="1">
      <c r="A40" s="124"/>
      <c r="B40" s="131"/>
      <c r="C40" s="132">
        <v>9</v>
      </c>
      <c r="D40" s="133">
        <v>178653</v>
      </c>
      <c r="E40" s="134">
        <v>133989</v>
      </c>
      <c r="F40" s="134">
        <v>111657</v>
      </c>
      <c r="G40" s="135">
        <v>66996</v>
      </c>
      <c r="H40" s="133">
        <v>189729</v>
      </c>
      <c r="I40" s="134">
        <v>142296</v>
      </c>
      <c r="J40" s="134">
        <v>118581</v>
      </c>
      <c r="K40" s="136">
        <v>71148</v>
      </c>
      <c r="L40" s="155"/>
      <c r="W40" s="109"/>
      <c r="X40" s="109"/>
      <c r="Y40" s="350"/>
      <c r="Z40" s="350"/>
      <c r="AA40" s="350"/>
      <c r="AB40" s="350"/>
      <c r="AC40" s="350"/>
      <c r="AD40" s="350"/>
    </row>
    <row r="41" spans="1:30" s="159" customFormat="1" ht="14.4" thickBot="1">
      <c r="A41" s="124"/>
      <c r="B41" s="137"/>
      <c r="C41" s="138">
        <v>10</v>
      </c>
      <c r="D41" s="133">
        <v>181332</v>
      </c>
      <c r="E41" s="134">
        <v>135999</v>
      </c>
      <c r="F41" s="134">
        <v>113334</v>
      </c>
      <c r="G41" s="135">
        <v>68001</v>
      </c>
      <c r="H41" s="139">
        <v>192576</v>
      </c>
      <c r="I41" s="140">
        <v>144432</v>
      </c>
      <c r="J41" s="140">
        <v>120360</v>
      </c>
      <c r="K41" s="141">
        <v>72216</v>
      </c>
      <c r="L41" s="155"/>
      <c r="W41" s="109"/>
      <c r="X41" s="109"/>
      <c r="Y41" s="350"/>
      <c r="Z41" s="350"/>
      <c r="AA41" s="350"/>
      <c r="AB41" s="350"/>
      <c r="AC41" s="350"/>
      <c r="AD41" s="350"/>
    </row>
    <row r="42" spans="1:30" s="159" customFormat="1">
      <c r="A42" s="124">
        <v>2</v>
      </c>
      <c r="B42" s="142" t="s">
        <v>797</v>
      </c>
      <c r="C42" s="126">
        <v>1</v>
      </c>
      <c r="D42" s="127">
        <v>186813</v>
      </c>
      <c r="E42" s="128">
        <v>140109</v>
      </c>
      <c r="F42" s="128">
        <v>116757</v>
      </c>
      <c r="G42" s="129">
        <v>70056</v>
      </c>
      <c r="H42" s="143">
        <v>198396</v>
      </c>
      <c r="I42" s="144">
        <v>148797</v>
      </c>
      <c r="J42" s="144">
        <v>123999</v>
      </c>
      <c r="K42" s="145">
        <v>74400</v>
      </c>
      <c r="L42" s="155"/>
      <c r="W42" s="109"/>
      <c r="X42" s="109"/>
      <c r="Y42" s="350"/>
      <c r="Z42" s="350"/>
      <c r="AA42" s="350"/>
      <c r="AB42" s="350"/>
      <c r="AC42" s="350"/>
      <c r="AD42" s="350"/>
    </row>
    <row r="43" spans="1:30" s="159" customFormat="1">
      <c r="A43" s="124"/>
      <c r="B43" s="131" t="s">
        <v>798</v>
      </c>
      <c r="C43" s="132">
        <v>2</v>
      </c>
      <c r="D43" s="133">
        <v>189609</v>
      </c>
      <c r="E43" s="134">
        <v>142206</v>
      </c>
      <c r="F43" s="134">
        <v>118506</v>
      </c>
      <c r="G43" s="135">
        <v>71103</v>
      </c>
      <c r="H43" s="133">
        <v>201366</v>
      </c>
      <c r="I43" s="134">
        <v>151026</v>
      </c>
      <c r="J43" s="134">
        <v>125853</v>
      </c>
      <c r="K43" s="136">
        <v>75513</v>
      </c>
      <c r="L43" s="155"/>
      <c r="W43" s="109"/>
      <c r="X43" s="109"/>
      <c r="Y43" s="350"/>
      <c r="Z43" s="350"/>
      <c r="AA43" s="350"/>
      <c r="AB43" s="350"/>
      <c r="AC43" s="350"/>
      <c r="AD43" s="350"/>
    </row>
    <row r="44" spans="1:30" s="159" customFormat="1">
      <c r="A44" s="124"/>
      <c r="B44" s="131" t="s">
        <v>799</v>
      </c>
      <c r="C44" s="132">
        <v>3</v>
      </c>
      <c r="D44" s="133">
        <v>192456</v>
      </c>
      <c r="E44" s="134">
        <v>144342</v>
      </c>
      <c r="F44" s="134">
        <v>120285</v>
      </c>
      <c r="G44" s="135">
        <v>72171</v>
      </c>
      <c r="H44" s="133">
        <v>204387</v>
      </c>
      <c r="I44" s="134">
        <v>153291</v>
      </c>
      <c r="J44" s="134">
        <v>127743</v>
      </c>
      <c r="K44" s="136">
        <v>76644</v>
      </c>
      <c r="L44" s="155"/>
      <c r="W44" s="109"/>
      <c r="X44" s="109"/>
      <c r="Y44" s="350"/>
      <c r="Z44" s="350"/>
      <c r="AA44" s="350"/>
      <c r="AB44" s="350"/>
      <c r="AC44" s="350"/>
      <c r="AD44" s="350"/>
    </row>
    <row r="45" spans="1:30" s="159" customFormat="1">
      <c r="A45" s="124"/>
      <c r="B45" s="131" t="s">
        <v>800</v>
      </c>
      <c r="C45" s="132">
        <v>4</v>
      </c>
      <c r="D45" s="133">
        <v>195342</v>
      </c>
      <c r="E45" s="134">
        <v>146508</v>
      </c>
      <c r="F45" s="134">
        <v>122088</v>
      </c>
      <c r="G45" s="135">
        <v>73254</v>
      </c>
      <c r="H45" s="133">
        <v>207453</v>
      </c>
      <c r="I45" s="134">
        <v>155589</v>
      </c>
      <c r="J45" s="134">
        <v>129657</v>
      </c>
      <c r="K45" s="136">
        <v>77796</v>
      </c>
      <c r="L45" s="155"/>
      <c r="W45" s="109"/>
      <c r="X45" s="109"/>
      <c r="Y45" s="350"/>
      <c r="Z45" s="350"/>
      <c r="AA45" s="350"/>
      <c r="AB45" s="350"/>
      <c r="AC45" s="350"/>
      <c r="AD45" s="350"/>
    </row>
    <row r="46" spans="1:30" s="159" customFormat="1">
      <c r="A46" s="124"/>
      <c r="B46" s="131" t="s">
        <v>801</v>
      </c>
      <c r="C46" s="132">
        <v>5</v>
      </c>
      <c r="D46" s="133">
        <v>198273</v>
      </c>
      <c r="E46" s="134">
        <v>148704</v>
      </c>
      <c r="F46" s="134">
        <v>123921</v>
      </c>
      <c r="G46" s="135">
        <v>74352</v>
      </c>
      <c r="H46" s="133">
        <v>210567</v>
      </c>
      <c r="I46" s="134">
        <v>157926</v>
      </c>
      <c r="J46" s="134">
        <v>131604</v>
      </c>
      <c r="K46" s="136">
        <v>78963</v>
      </c>
      <c r="L46" s="155"/>
      <c r="W46" s="109"/>
      <c r="X46" s="109"/>
      <c r="Y46" s="350"/>
      <c r="Z46" s="350"/>
      <c r="AA46" s="350"/>
      <c r="AB46" s="350"/>
      <c r="AC46" s="350"/>
      <c r="AD46" s="350"/>
    </row>
    <row r="47" spans="1:30" s="159" customFormat="1">
      <c r="A47" s="124"/>
      <c r="B47" s="131" t="s">
        <v>802</v>
      </c>
      <c r="C47" s="132">
        <v>6</v>
      </c>
      <c r="D47" s="133">
        <v>201252</v>
      </c>
      <c r="E47" s="134">
        <v>150939</v>
      </c>
      <c r="F47" s="134">
        <v>125784</v>
      </c>
      <c r="G47" s="135">
        <v>75471</v>
      </c>
      <c r="H47" s="133">
        <v>213729</v>
      </c>
      <c r="I47" s="134">
        <v>160296</v>
      </c>
      <c r="J47" s="134">
        <v>133581</v>
      </c>
      <c r="K47" s="136">
        <v>80148</v>
      </c>
      <c r="L47" s="155"/>
      <c r="W47" s="109"/>
      <c r="X47" s="109"/>
      <c r="Y47" s="350"/>
      <c r="Z47" s="350"/>
      <c r="AA47" s="350"/>
      <c r="AB47" s="350"/>
      <c r="AC47" s="350"/>
      <c r="AD47" s="350"/>
    </row>
    <row r="48" spans="1:30" s="159" customFormat="1">
      <c r="A48" s="124"/>
      <c r="B48" s="131" t="s">
        <v>803</v>
      </c>
      <c r="C48" s="132">
        <v>7</v>
      </c>
      <c r="D48" s="133">
        <v>204258</v>
      </c>
      <c r="E48" s="134">
        <v>153195</v>
      </c>
      <c r="F48" s="134">
        <v>127662</v>
      </c>
      <c r="G48" s="135">
        <v>76596</v>
      </c>
      <c r="H48" s="133">
        <v>216921</v>
      </c>
      <c r="I48" s="134">
        <v>162690</v>
      </c>
      <c r="J48" s="134">
        <v>135576</v>
      </c>
      <c r="K48" s="136">
        <v>81345</v>
      </c>
      <c r="L48" s="155"/>
      <c r="W48" s="109"/>
      <c r="X48" s="109"/>
      <c r="Y48" s="350"/>
      <c r="Z48" s="350"/>
      <c r="AA48" s="350"/>
      <c r="AB48" s="350"/>
      <c r="AC48" s="350"/>
      <c r="AD48" s="350"/>
    </row>
    <row r="49" spans="1:30" s="159" customFormat="1">
      <c r="A49" s="124"/>
      <c r="B49" s="131" t="s">
        <v>804</v>
      </c>
      <c r="C49" s="132">
        <v>8</v>
      </c>
      <c r="D49" s="133">
        <v>207324</v>
      </c>
      <c r="E49" s="134">
        <v>155493</v>
      </c>
      <c r="F49" s="134">
        <v>129579</v>
      </c>
      <c r="G49" s="135">
        <v>77748</v>
      </c>
      <c r="H49" s="133">
        <v>220179</v>
      </c>
      <c r="I49" s="134">
        <v>165135</v>
      </c>
      <c r="J49" s="134">
        <v>137613</v>
      </c>
      <c r="K49" s="136">
        <v>82566</v>
      </c>
      <c r="L49" s="155"/>
      <c r="W49" s="109"/>
      <c r="X49" s="109"/>
      <c r="Y49" s="350"/>
      <c r="Z49" s="350"/>
      <c r="AA49" s="350"/>
      <c r="AB49" s="350"/>
      <c r="AC49" s="350"/>
      <c r="AD49" s="350"/>
    </row>
    <row r="50" spans="1:30" s="159" customFormat="1">
      <c r="A50" s="124"/>
      <c r="B50" s="131"/>
      <c r="C50" s="132">
        <v>9</v>
      </c>
      <c r="D50" s="133">
        <v>210432</v>
      </c>
      <c r="E50" s="134">
        <v>157824</v>
      </c>
      <c r="F50" s="134">
        <v>131520</v>
      </c>
      <c r="G50" s="135">
        <v>78912</v>
      </c>
      <c r="H50" s="133">
        <v>223479</v>
      </c>
      <c r="I50" s="134">
        <v>167610</v>
      </c>
      <c r="J50" s="134">
        <v>139674</v>
      </c>
      <c r="K50" s="136">
        <v>83805</v>
      </c>
      <c r="L50" s="155"/>
      <c r="W50" s="109"/>
      <c r="X50" s="109"/>
      <c r="Y50" s="350"/>
      <c r="Z50" s="350"/>
      <c r="AA50" s="350"/>
      <c r="AB50" s="350"/>
      <c r="AC50" s="350"/>
      <c r="AD50" s="350"/>
    </row>
    <row r="51" spans="1:30" s="159" customFormat="1">
      <c r="A51" s="124"/>
      <c r="B51" s="131"/>
      <c r="C51" s="132">
        <v>10</v>
      </c>
      <c r="D51" s="133">
        <v>213591</v>
      </c>
      <c r="E51" s="134">
        <v>160194</v>
      </c>
      <c r="F51" s="134">
        <v>133494</v>
      </c>
      <c r="G51" s="135">
        <v>80097</v>
      </c>
      <c r="H51" s="133">
        <v>226833</v>
      </c>
      <c r="I51" s="134">
        <v>170124</v>
      </c>
      <c r="J51" s="134">
        <v>141771</v>
      </c>
      <c r="K51" s="136">
        <v>85062</v>
      </c>
      <c r="L51" s="155"/>
      <c r="W51" s="109"/>
      <c r="X51" s="109"/>
      <c r="Y51" s="350"/>
      <c r="Z51" s="350"/>
      <c r="AA51" s="350"/>
      <c r="AB51" s="350"/>
      <c r="AC51" s="350"/>
      <c r="AD51" s="350"/>
    </row>
    <row r="52" spans="1:30" s="159" customFormat="1" ht="14.4" thickBot="1">
      <c r="A52" s="124"/>
      <c r="B52" s="137"/>
      <c r="C52" s="157">
        <v>11</v>
      </c>
      <c r="D52" s="139">
        <v>216798</v>
      </c>
      <c r="E52" s="140">
        <v>162600</v>
      </c>
      <c r="F52" s="140">
        <v>135498</v>
      </c>
      <c r="G52" s="146">
        <v>81300</v>
      </c>
      <c r="H52" s="139">
        <v>230238</v>
      </c>
      <c r="I52" s="140">
        <v>172680</v>
      </c>
      <c r="J52" s="140">
        <v>143898</v>
      </c>
      <c r="K52" s="141">
        <v>86340</v>
      </c>
      <c r="L52" s="155"/>
      <c r="W52" s="109"/>
      <c r="X52" s="109"/>
      <c r="Y52" s="350"/>
      <c r="Z52" s="350"/>
      <c r="AA52" s="350"/>
      <c r="AB52" s="350"/>
      <c r="AC52" s="350"/>
      <c r="AD52" s="350"/>
    </row>
    <row r="53" spans="1:30" s="159" customFormat="1" ht="14.4" thickBot="1">
      <c r="A53" s="124"/>
      <c r="B53" s="147"/>
      <c r="C53" s="148"/>
      <c r="D53" s="149"/>
      <c r="E53" s="150"/>
      <c r="F53" s="150"/>
      <c r="G53" s="150"/>
      <c r="H53" s="151"/>
      <c r="I53" s="156"/>
      <c r="J53" s="156"/>
      <c r="K53" s="156"/>
      <c r="L53" s="155"/>
      <c r="W53" s="109"/>
      <c r="X53" s="109"/>
      <c r="Y53" s="350"/>
      <c r="Z53" s="350"/>
      <c r="AA53" s="350"/>
      <c r="AB53" s="350"/>
      <c r="AC53" s="350"/>
      <c r="AD53" s="350"/>
    </row>
    <row r="54" spans="1:30" ht="16.2" thickBot="1">
      <c r="A54" s="116"/>
      <c r="B54" s="1134" t="s">
        <v>805</v>
      </c>
      <c r="C54" s="1134"/>
      <c r="D54" s="1134"/>
      <c r="E54" s="1134"/>
      <c r="F54" s="1134"/>
      <c r="G54" s="1134"/>
      <c r="H54" s="1134"/>
      <c r="I54" s="1134"/>
      <c r="J54" s="1134"/>
      <c r="K54" s="1134"/>
    </row>
    <row r="55" spans="1:30" ht="18.600000000000001" thickBot="1">
      <c r="A55" s="116"/>
      <c r="B55" s="123"/>
      <c r="C55" s="123"/>
      <c r="D55" s="1135" t="s">
        <v>773</v>
      </c>
      <c r="E55" s="1136"/>
      <c r="F55" s="1136"/>
      <c r="G55" s="1137"/>
      <c r="H55" s="1123" t="s">
        <v>773</v>
      </c>
      <c r="I55" s="1124"/>
      <c r="J55" s="1124"/>
      <c r="K55" s="1125"/>
    </row>
    <row r="56" spans="1:30" s="159" customFormat="1">
      <c r="A56" s="124">
        <v>3</v>
      </c>
      <c r="B56" s="125" t="s">
        <v>806</v>
      </c>
      <c r="C56" s="126">
        <v>1</v>
      </c>
      <c r="D56" s="127">
        <v>198273</v>
      </c>
      <c r="E56" s="128">
        <v>148704</v>
      </c>
      <c r="F56" s="128">
        <v>123921</v>
      </c>
      <c r="G56" s="129">
        <v>74352</v>
      </c>
      <c r="H56" s="127">
        <v>210567</v>
      </c>
      <c r="I56" s="128">
        <v>157926</v>
      </c>
      <c r="J56" s="128">
        <v>131604</v>
      </c>
      <c r="K56" s="130">
        <v>78963</v>
      </c>
      <c r="L56" s="155"/>
      <c r="W56" s="109"/>
      <c r="X56" s="109"/>
      <c r="Y56" s="350"/>
      <c r="Z56" s="350"/>
      <c r="AA56" s="350"/>
      <c r="AB56" s="350"/>
      <c r="AC56" s="350"/>
      <c r="AD56" s="350"/>
    </row>
    <row r="57" spans="1:30" s="159" customFormat="1">
      <c r="A57" s="124"/>
      <c r="B57" s="131" t="s">
        <v>807</v>
      </c>
      <c r="C57" s="152">
        <v>2</v>
      </c>
      <c r="D57" s="133">
        <v>201252</v>
      </c>
      <c r="E57" s="134">
        <v>150939</v>
      </c>
      <c r="F57" s="134">
        <v>125784</v>
      </c>
      <c r="G57" s="135">
        <v>75471</v>
      </c>
      <c r="H57" s="133">
        <v>213729</v>
      </c>
      <c r="I57" s="134">
        <v>160296</v>
      </c>
      <c r="J57" s="134">
        <v>133581</v>
      </c>
      <c r="K57" s="136">
        <v>80148</v>
      </c>
      <c r="L57" s="155"/>
      <c r="W57" s="109"/>
      <c r="X57" s="109"/>
      <c r="Y57" s="350"/>
      <c r="Z57" s="350"/>
      <c r="AA57" s="350"/>
      <c r="AB57" s="350"/>
      <c r="AC57" s="350"/>
      <c r="AD57" s="350"/>
    </row>
    <row r="58" spans="1:30" s="159" customFormat="1">
      <c r="A58" s="124"/>
      <c r="B58" s="131" t="s">
        <v>808</v>
      </c>
      <c r="C58" s="152">
        <v>3</v>
      </c>
      <c r="D58" s="133">
        <v>204258</v>
      </c>
      <c r="E58" s="134">
        <v>153195</v>
      </c>
      <c r="F58" s="134">
        <v>127662</v>
      </c>
      <c r="G58" s="135">
        <v>76596</v>
      </c>
      <c r="H58" s="133">
        <v>216921</v>
      </c>
      <c r="I58" s="134">
        <v>162690</v>
      </c>
      <c r="J58" s="134">
        <v>135576</v>
      </c>
      <c r="K58" s="136">
        <v>81345</v>
      </c>
      <c r="L58" s="155"/>
      <c r="W58" s="109"/>
      <c r="X58" s="109"/>
      <c r="Y58" s="350"/>
      <c r="Z58" s="350"/>
      <c r="AA58" s="350"/>
      <c r="AB58" s="350"/>
      <c r="AC58" s="350"/>
      <c r="AD58" s="350"/>
    </row>
    <row r="59" spans="1:30" s="159" customFormat="1">
      <c r="A59" s="124"/>
      <c r="B59" s="131" t="s">
        <v>809</v>
      </c>
      <c r="C59" s="152">
        <v>4</v>
      </c>
      <c r="D59" s="133">
        <v>207324</v>
      </c>
      <c r="E59" s="134">
        <v>155493</v>
      </c>
      <c r="F59" s="134">
        <v>129579</v>
      </c>
      <c r="G59" s="135">
        <v>77748</v>
      </c>
      <c r="H59" s="133">
        <v>220179</v>
      </c>
      <c r="I59" s="134">
        <v>165135</v>
      </c>
      <c r="J59" s="134">
        <v>137613</v>
      </c>
      <c r="K59" s="136">
        <v>82566</v>
      </c>
      <c r="L59" s="155"/>
      <c r="W59" s="109"/>
      <c r="X59" s="109"/>
      <c r="Y59" s="350"/>
      <c r="Z59" s="350"/>
      <c r="AA59" s="350"/>
      <c r="AB59" s="350"/>
      <c r="AC59" s="350"/>
      <c r="AD59" s="350"/>
    </row>
    <row r="60" spans="1:30" s="159" customFormat="1">
      <c r="A60" s="124"/>
      <c r="B60" s="131" t="s">
        <v>810</v>
      </c>
      <c r="C60" s="152">
        <v>5</v>
      </c>
      <c r="D60" s="133">
        <v>210432</v>
      </c>
      <c r="E60" s="134">
        <v>157824</v>
      </c>
      <c r="F60" s="134">
        <v>131520</v>
      </c>
      <c r="G60" s="135">
        <v>78912</v>
      </c>
      <c r="H60" s="133">
        <v>223479</v>
      </c>
      <c r="I60" s="134">
        <v>167610</v>
      </c>
      <c r="J60" s="134">
        <v>139674</v>
      </c>
      <c r="K60" s="136">
        <v>83805</v>
      </c>
      <c r="L60" s="155"/>
      <c r="W60" s="109"/>
      <c r="X60" s="109"/>
      <c r="Y60" s="350"/>
      <c r="Z60" s="350"/>
      <c r="AA60" s="350"/>
      <c r="AB60" s="350"/>
      <c r="AC60" s="350"/>
      <c r="AD60" s="350"/>
    </row>
    <row r="61" spans="1:30" s="159" customFormat="1">
      <c r="A61" s="124"/>
      <c r="B61" s="131" t="s">
        <v>811</v>
      </c>
      <c r="C61" s="152">
        <v>6</v>
      </c>
      <c r="D61" s="133">
        <v>213591</v>
      </c>
      <c r="E61" s="134">
        <v>160194</v>
      </c>
      <c r="F61" s="134">
        <v>133494</v>
      </c>
      <c r="G61" s="135">
        <v>80097</v>
      </c>
      <c r="H61" s="133">
        <v>226833</v>
      </c>
      <c r="I61" s="134">
        <v>170124</v>
      </c>
      <c r="J61" s="134">
        <v>141771</v>
      </c>
      <c r="K61" s="136">
        <v>85062</v>
      </c>
      <c r="L61" s="155"/>
      <c r="W61" s="109"/>
      <c r="X61" s="109"/>
      <c r="Y61" s="350"/>
      <c r="Z61" s="350"/>
      <c r="AA61" s="350"/>
      <c r="AB61" s="350"/>
      <c r="AC61" s="350"/>
      <c r="AD61" s="350"/>
    </row>
    <row r="62" spans="1:30" s="159" customFormat="1">
      <c r="A62" s="124"/>
      <c r="B62" s="131" t="s">
        <v>812</v>
      </c>
      <c r="C62" s="152">
        <v>7</v>
      </c>
      <c r="D62" s="133">
        <v>216798</v>
      </c>
      <c r="E62" s="134">
        <v>162600</v>
      </c>
      <c r="F62" s="134">
        <v>135498</v>
      </c>
      <c r="G62" s="135">
        <v>81300</v>
      </c>
      <c r="H62" s="133">
        <v>230238</v>
      </c>
      <c r="I62" s="134">
        <v>172680</v>
      </c>
      <c r="J62" s="134">
        <v>143898</v>
      </c>
      <c r="K62" s="136">
        <v>86340</v>
      </c>
      <c r="L62" s="155"/>
      <c r="W62" s="109"/>
      <c r="X62" s="109"/>
      <c r="Y62" s="350"/>
      <c r="Z62" s="350"/>
      <c r="AA62" s="350"/>
      <c r="AB62" s="350"/>
      <c r="AC62" s="350"/>
      <c r="AD62" s="350"/>
    </row>
    <row r="63" spans="1:30" s="159" customFormat="1">
      <c r="A63" s="124"/>
      <c r="B63" s="131" t="s">
        <v>813</v>
      </c>
      <c r="C63" s="152">
        <v>8</v>
      </c>
      <c r="D63" s="133">
        <v>220047</v>
      </c>
      <c r="E63" s="134">
        <v>165036</v>
      </c>
      <c r="F63" s="134">
        <v>137529</v>
      </c>
      <c r="G63" s="135">
        <v>82518</v>
      </c>
      <c r="H63" s="133">
        <v>233691</v>
      </c>
      <c r="I63" s="134">
        <v>175269</v>
      </c>
      <c r="J63" s="134">
        <v>146058</v>
      </c>
      <c r="K63" s="136">
        <v>87633</v>
      </c>
      <c r="L63" s="155"/>
      <c r="W63" s="109"/>
      <c r="X63" s="109"/>
      <c r="Y63" s="350"/>
      <c r="Z63" s="350"/>
      <c r="AA63" s="350"/>
      <c r="AB63" s="350"/>
      <c r="AC63" s="350"/>
      <c r="AD63" s="350"/>
    </row>
    <row r="64" spans="1:30" s="159" customFormat="1">
      <c r="A64" s="124"/>
      <c r="B64" s="131" t="s">
        <v>814</v>
      </c>
      <c r="C64" s="152">
        <v>9</v>
      </c>
      <c r="D64" s="133">
        <v>223350</v>
      </c>
      <c r="E64" s="134">
        <v>167514</v>
      </c>
      <c r="F64" s="134">
        <v>139593</v>
      </c>
      <c r="G64" s="135">
        <v>83757</v>
      </c>
      <c r="H64" s="133">
        <v>237198</v>
      </c>
      <c r="I64" s="134">
        <v>177900</v>
      </c>
      <c r="J64" s="134">
        <v>148248</v>
      </c>
      <c r="K64" s="136">
        <v>88950</v>
      </c>
      <c r="L64" s="155"/>
      <c r="W64" s="109"/>
      <c r="X64" s="109"/>
      <c r="Y64" s="350"/>
      <c r="Z64" s="350"/>
      <c r="AA64" s="350"/>
      <c r="AB64" s="350"/>
      <c r="AC64" s="350"/>
      <c r="AD64" s="350"/>
    </row>
    <row r="65" spans="1:30" s="159" customFormat="1">
      <c r="A65" s="124"/>
      <c r="B65" s="131" t="s">
        <v>815</v>
      </c>
      <c r="C65" s="152">
        <v>10</v>
      </c>
      <c r="D65" s="133">
        <v>226707</v>
      </c>
      <c r="E65" s="134">
        <v>170031</v>
      </c>
      <c r="F65" s="134">
        <v>141693</v>
      </c>
      <c r="G65" s="135">
        <v>85014</v>
      </c>
      <c r="H65" s="133">
        <v>240762</v>
      </c>
      <c r="I65" s="153">
        <v>180573</v>
      </c>
      <c r="J65" s="153">
        <v>150477</v>
      </c>
      <c r="K65" s="154">
        <v>90285</v>
      </c>
      <c r="L65" s="155"/>
      <c r="W65" s="109"/>
      <c r="X65" s="109"/>
      <c r="Y65" s="350"/>
      <c r="Z65" s="350"/>
      <c r="AA65" s="350"/>
      <c r="AB65" s="350"/>
      <c r="AC65" s="350"/>
      <c r="AD65" s="350"/>
    </row>
    <row r="66" spans="1:30" s="159" customFormat="1">
      <c r="A66" s="124"/>
      <c r="B66" s="131" t="s">
        <v>816</v>
      </c>
      <c r="C66" s="1143"/>
      <c r="D66" s="1146"/>
      <c r="E66" s="1147"/>
      <c r="F66" s="1147"/>
      <c r="G66" s="1147"/>
      <c r="H66" s="1152"/>
      <c r="I66" s="1153"/>
      <c r="J66" s="1153"/>
      <c r="K66" s="1154"/>
      <c r="L66" s="155"/>
      <c r="W66" s="109"/>
      <c r="X66" s="109"/>
      <c r="Y66" s="350"/>
      <c r="Z66" s="350"/>
      <c r="AA66" s="350"/>
      <c r="AB66" s="350"/>
      <c r="AC66" s="350"/>
      <c r="AD66" s="350"/>
    </row>
    <row r="67" spans="1:30" s="159" customFormat="1">
      <c r="A67" s="124"/>
      <c r="B67" s="131" t="s">
        <v>817</v>
      </c>
      <c r="C67" s="1144"/>
      <c r="D67" s="1148"/>
      <c r="E67" s="1149"/>
      <c r="F67" s="1149"/>
      <c r="G67" s="1149"/>
      <c r="H67" s="1155"/>
      <c r="I67" s="1156"/>
      <c r="J67" s="1156"/>
      <c r="K67" s="1157"/>
      <c r="L67" s="155"/>
      <c r="W67" s="109"/>
      <c r="X67" s="109"/>
      <c r="Y67" s="350"/>
      <c r="Z67" s="350"/>
      <c r="AA67" s="350"/>
      <c r="AB67" s="350"/>
      <c r="AC67" s="350"/>
      <c r="AD67" s="350"/>
    </row>
    <row r="68" spans="1:30" s="159" customFormat="1">
      <c r="A68" s="124"/>
      <c r="B68" s="131" t="s">
        <v>818</v>
      </c>
      <c r="C68" s="1144"/>
      <c r="D68" s="1148"/>
      <c r="E68" s="1149"/>
      <c r="F68" s="1149"/>
      <c r="G68" s="1149"/>
      <c r="H68" s="1155"/>
      <c r="I68" s="1156"/>
      <c r="J68" s="1156"/>
      <c r="K68" s="1157"/>
      <c r="L68" s="155"/>
      <c r="W68" s="109"/>
      <c r="X68" s="109"/>
      <c r="Y68" s="350"/>
      <c r="Z68" s="350"/>
      <c r="AA68" s="350"/>
      <c r="AB68" s="350"/>
      <c r="AC68" s="350"/>
      <c r="AD68" s="350"/>
    </row>
    <row r="69" spans="1:30" s="159" customFormat="1" ht="14.4" thickBot="1">
      <c r="A69" s="124"/>
      <c r="B69" s="137" t="s">
        <v>819</v>
      </c>
      <c r="C69" s="1145"/>
      <c r="D69" s="1150"/>
      <c r="E69" s="1151"/>
      <c r="F69" s="1151"/>
      <c r="G69" s="1151"/>
      <c r="H69" s="1155"/>
      <c r="I69" s="1156"/>
      <c r="J69" s="1156"/>
      <c r="K69" s="1157"/>
      <c r="L69" s="155"/>
      <c r="W69" s="109"/>
      <c r="X69" s="109"/>
      <c r="Y69" s="350"/>
      <c r="Z69" s="350"/>
      <c r="AA69" s="350"/>
      <c r="AB69" s="350"/>
      <c r="AC69" s="350"/>
      <c r="AD69" s="350"/>
    </row>
    <row r="70" spans="1:30" s="159" customFormat="1">
      <c r="A70" s="124">
        <v>4</v>
      </c>
      <c r="B70" s="125" t="s">
        <v>820</v>
      </c>
      <c r="C70" s="126">
        <v>1</v>
      </c>
      <c r="D70" s="127">
        <v>233553</v>
      </c>
      <c r="E70" s="128">
        <v>175164</v>
      </c>
      <c r="F70" s="128">
        <v>145971</v>
      </c>
      <c r="G70" s="129">
        <v>87582</v>
      </c>
      <c r="H70" s="127">
        <v>248034</v>
      </c>
      <c r="I70" s="128">
        <v>186027</v>
      </c>
      <c r="J70" s="128">
        <v>155022</v>
      </c>
      <c r="K70" s="130">
        <v>93012</v>
      </c>
      <c r="L70" s="155"/>
      <c r="W70" s="109"/>
      <c r="X70" s="109"/>
      <c r="Y70" s="350"/>
      <c r="Z70" s="350"/>
      <c r="AA70" s="350"/>
      <c r="AB70" s="350"/>
      <c r="AC70" s="350"/>
      <c r="AD70" s="350"/>
    </row>
    <row r="71" spans="1:30" s="159" customFormat="1">
      <c r="A71" s="124"/>
      <c r="B71" s="131" t="s">
        <v>807</v>
      </c>
      <c r="C71" s="152">
        <v>2</v>
      </c>
      <c r="D71" s="133">
        <v>237060</v>
      </c>
      <c r="E71" s="134">
        <v>177795</v>
      </c>
      <c r="F71" s="134">
        <v>148164</v>
      </c>
      <c r="G71" s="135">
        <v>88899</v>
      </c>
      <c r="H71" s="133">
        <v>251757</v>
      </c>
      <c r="I71" s="134">
        <v>188817</v>
      </c>
      <c r="J71" s="134">
        <v>157347</v>
      </c>
      <c r="K71" s="136">
        <v>94410</v>
      </c>
      <c r="L71" s="155"/>
      <c r="W71" s="109"/>
      <c r="X71" s="109"/>
      <c r="Y71" s="350"/>
      <c r="Z71" s="350"/>
      <c r="AA71" s="350"/>
      <c r="AB71" s="350"/>
      <c r="AC71" s="350"/>
      <c r="AD71" s="350"/>
    </row>
    <row r="72" spans="1:30" s="159" customFormat="1">
      <c r="A72" s="124"/>
      <c r="B72" s="131" t="s">
        <v>821</v>
      </c>
      <c r="C72" s="152">
        <v>3</v>
      </c>
      <c r="D72" s="133">
        <v>240618</v>
      </c>
      <c r="E72" s="134">
        <v>180465</v>
      </c>
      <c r="F72" s="134">
        <v>150387</v>
      </c>
      <c r="G72" s="135">
        <v>90231</v>
      </c>
      <c r="H72" s="133">
        <v>255537</v>
      </c>
      <c r="I72" s="134">
        <v>191652</v>
      </c>
      <c r="J72" s="134">
        <v>159711</v>
      </c>
      <c r="K72" s="136">
        <v>95826</v>
      </c>
      <c r="L72" s="155"/>
      <c r="W72" s="109"/>
      <c r="X72" s="109"/>
      <c r="Y72" s="350"/>
      <c r="Z72" s="350"/>
      <c r="AA72" s="350"/>
      <c r="AB72" s="350"/>
      <c r="AC72" s="350"/>
      <c r="AD72" s="350"/>
    </row>
    <row r="73" spans="1:30" s="159" customFormat="1">
      <c r="A73" s="124"/>
      <c r="B73" s="131" t="s">
        <v>822</v>
      </c>
      <c r="C73" s="152">
        <v>4</v>
      </c>
      <c r="D73" s="133">
        <v>244218</v>
      </c>
      <c r="E73" s="134">
        <v>183165</v>
      </c>
      <c r="F73" s="134">
        <v>152637</v>
      </c>
      <c r="G73" s="135">
        <v>91581</v>
      </c>
      <c r="H73" s="133">
        <v>259359</v>
      </c>
      <c r="I73" s="134">
        <v>194520</v>
      </c>
      <c r="J73" s="134">
        <v>162099</v>
      </c>
      <c r="K73" s="136">
        <v>97260</v>
      </c>
      <c r="L73" s="155"/>
      <c r="W73" s="109"/>
      <c r="X73" s="109"/>
      <c r="Y73" s="350"/>
      <c r="Z73" s="350"/>
      <c r="AA73" s="350"/>
      <c r="AB73" s="350"/>
      <c r="AC73" s="350"/>
      <c r="AD73" s="350"/>
    </row>
    <row r="74" spans="1:30" s="159" customFormat="1">
      <c r="A74" s="124"/>
      <c r="B74" s="131" t="s">
        <v>823</v>
      </c>
      <c r="C74" s="152">
        <v>5</v>
      </c>
      <c r="D74" s="133">
        <v>247887</v>
      </c>
      <c r="E74" s="134">
        <v>185916</v>
      </c>
      <c r="F74" s="134">
        <v>154929</v>
      </c>
      <c r="G74" s="135">
        <v>92958</v>
      </c>
      <c r="H74" s="133">
        <v>263256</v>
      </c>
      <c r="I74" s="134">
        <v>197442</v>
      </c>
      <c r="J74" s="134">
        <v>164535</v>
      </c>
      <c r="K74" s="136">
        <v>98721</v>
      </c>
      <c r="L74" s="155"/>
      <c r="W74" s="109"/>
      <c r="X74" s="109"/>
      <c r="Y74" s="350"/>
      <c r="Z74" s="350"/>
      <c r="AA74" s="350"/>
      <c r="AB74" s="350"/>
      <c r="AC74" s="350"/>
      <c r="AD74" s="350"/>
    </row>
    <row r="75" spans="1:30" s="159" customFormat="1">
      <c r="A75" s="124"/>
      <c r="B75" s="131" t="s">
        <v>824</v>
      </c>
      <c r="C75" s="152">
        <v>6</v>
      </c>
      <c r="D75" s="133">
        <v>251610</v>
      </c>
      <c r="E75" s="134">
        <v>188709</v>
      </c>
      <c r="F75" s="134">
        <v>157257</v>
      </c>
      <c r="G75" s="135">
        <v>94353</v>
      </c>
      <c r="H75" s="133">
        <v>267210</v>
      </c>
      <c r="I75" s="134">
        <v>200409</v>
      </c>
      <c r="J75" s="134">
        <v>167007</v>
      </c>
      <c r="K75" s="136">
        <v>100203</v>
      </c>
      <c r="L75" s="155"/>
      <c r="W75" s="109"/>
      <c r="X75" s="109"/>
      <c r="Y75" s="350"/>
      <c r="Z75" s="350"/>
      <c r="AA75" s="350"/>
      <c r="AB75" s="350"/>
      <c r="AC75" s="350"/>
      <c r="AD75" s="350"/>
    </row>
    <row r="76" spans="1:30" s="159" customFormat="1">
      <c r="A76" s="124"/>
      <c r="B76" s="131" t="s">
        <v>825</v>
      </c>
      <c r="C76" s="152">
        <v>7</v>
      </c>
      <c r="D76" s="133">
        <v>255381</v>
      </c>
      <c r="E76" s="134">
        <v>191535</v>
      </c>
      <c r="F76" s="134">
        <v>159612</v>
      </c>
      <c r="G76" s="135">
        <v>95769</v>
      </c>
      <c r="H76" s="133">
        <v>271215</v>
      </c>
      <c r="I76" s="134">
        <v>203412</v>
      </c>
      <c r="J76" s="134">
        <v>169509</v>
      </c>
      <c r="K76" s="136">
        <v>101706</v>
      </c>
      <c r="L76" s="155"/>
      <c r="W76" s="109"/>
      <c r="X76" s="109"/>
      <c r="Y76" s="350"/>
      <c r="Z76" s="350"/>
      <c r="AA76" s="350"/>
      <c r="AB76" s="350"/>
      <c r="AC76" s="350"/>
      <c r="AD76" s="350"/>
    </row>
    <row r="77" spans="1:30" s="159" customFormat="1">
      <c r="A77" s="124"/>
      <c r="B77" s="131" t="s">
        <v>826</v>
      </c>
      <c r="C77" s="152">
        <v>8</v>
      </c>
      <c r="D77" s="133">
        <v>259212</v>
      </c>
      <c r="E77" s="134">
        <v>194409</v>
      </c>
      <c r="F77" s="134">
        <v>162009</v>
      </c>
      <c r="G77" s="135">
        <v>97206</v>
      </c>
      <c r="H77" s="133">
        <v>275283</v>
      </c>
      <c r="I77" s="134">
        <v>206463</v>
      </c>
      <c r="J77" s="134">
        <v>172053</v>
      </c>
      <c r="K77" s="136">
        <v>103230</v>
      </c>
      <c r="L77" s="155"/>
      <c r="W77" s="109"/>
      <c r="X77" s="109"/>
      <c r="Y77" s="350"/>
      <c r="Z77" s="350"/>
      <c r="AA77" s="350"/>
      <c r="AB77" s="350"/>
      <c r="AC77" s="350"/>
      <c r="AD77" s="350"/>
    </row>
    <row r="78" spans="1:30" s="159" customFormat="1">
      <c r="A78" s="124"/>
      <c r="B78" s="131" t="s">
        <v>827</v>
      </c>
      <c r="C78" s="152">
        <v>9</v>
      </c>
      <c r="D78" s="133">
        <v>263091</v>
      </c>
      <c r="E78" s="134">
        <v>197319</v>
      </c>
      <c r="F78" s="134">
        <v>164433</v>
      </c>
      <c r="G78" s="135">
        <v>98658</v>
      </c>
      <c r="H78" s="133">
        <v>279402</v>
      </c>
      <c r="I78" s="134">
        <v>209553</v>
      </c>
      <c r="J78" s="134">
        <v>174627</v>
      </c>
      <c r="K78" s="136">
        <v>104775</v>
      </c>
      <c r="L78" s="155"/>
      <c r="W78" s="109"/>
      <c r="X78" s="109"/>
      <c r="Y78" s="350"/>
      <c r="Z78" s="350"/>
      <c r="AA78" s="350"/>
      <c r="AB78" s="350"/>
      <c r="AC78" s="350"/>
      <c r="AD78" s="350"/>
    </row>
    <row r="79" spans="1:30" s="159" customFormat="1">
      <c r="A79" s="124"/>
      <c r="B79" s="131" t="s">
        <v>828</v>
      </c>
      <c r="C79" s="152">
        <v>10</v>
      </c>
      <c r="D79" s="133">
        <v>267042</v>
      </c>
      <c r="E79" s="134">
        <v>200283</v>
      </c>
      <c r="F79" s="134">
        <v>166902</v>
      </c>
      <c r="G79" s="135">
        <v>100140</v>
      </c>
      <c r="H79" s="133">
        <v>283599</v>
      </c>
      <c r="I79" s="134">
        <v>212700</v>
      </c>
      <c r="J79" s="134">
        <v>177249</v>
      </c>
      <c r="K79" s="136">
        <v>106350</v>
      </c>
      <c r="L79" s="155"/>
      <c r="W79" s="109"/>
      <c r="X79" s="109"/>
      <c r="Y79" s="350"/>
      <c r="Z79" s="350"/>
      <c r="AA79" s="350"/>
      <c r="AB79" s="350"/>
      <c r="AC79" s="350"/>
      <c r="AD79" s="350"/>
    </row>
    <row r="80" spans="1:30" s="159" customFormat="1">
      <c r="A80" s="124"/>
      <c r="B80" s="131" t="s">
        <v>829</v>
      </c>
      <c r="C80" s="152">
        <v>11</v>
      </c>
      <c r="D80" s="133">
        <v>271053</v>
      </c>
      <c r="E80" s="134">
        <v>203289</v>
      </c>
      <c r="F80" s="134">
        <v>169407</v>
      </c>
      <c r="G80" s="135">
        <v>101646</v>
      </c>
      <c r="H80" s="133">
        <v>287859</v>
      </c>
      <c r="I80" s="134">
        <v>215895</v>
      </c>
      <c r="J80" s="134">
        <v>179913</v>
      </c>
      <c r="K80" s="136">
        <v>107946</v>
      </c>
      <c r="L80" s="155"/>
      <c r="W80" s="109"/>
      <c r="X80" s="109"/>
      <c r="Y80" s="350"/>
      <c r="Z80" s="350"/>
      <c r="AA80" s="350"/>
      <c r="AB80" s="350"/>
      <c r="AC80" s="350"/>
      <c r="AD80" s="350"/>
    </row>
    <row r="81" spans="1:30" s="159" customFormat="1">
      <c r="A81" s="124"/>
      <c r="B81" s="131" t="s">
        <v>830</v>
      </c>
      <c r="C81" s="152">
        <v>12</v>
      </c>
      <c r="D81" s="133">
        <v>275115</v>
      </c>
      <c r="E81" s="134">
        <v>206337</v>
      </c>
      <c r="F81" s="134">
        <v>171948</v>
      </c>
      <c r="G81" s="135">
        <v>103167</v>
      </c>
      <c r="H81" s="133">
        <v>292173</v>
      </c>
      <c r="I81" s="134">
        <v>219129</v>
      </c>
      <c r="J81" s="134">
        <v>182607</v>
      </c>
      <c r="K81" s="136">
        <v>109566</v>
      </c>
      <c r="L81" s="155"/>
      <c r="W81" s="109"/>
      <c r="X81" s="109"/>
      <c r="Y81" s="350"/>
      <c r="Z81" s="350"/>
      <c r="AA81" s="350"/>
      <c r="AB81" s="350"/>
      <c r="AC81" s="350"/>
      <c r="AD81" s="350"/>
    </row>
    <row r="82" spans="1:30" s="159" customFormat="1">
      <c r="A82" s="124"/>
      <c r="B82" s="131" t="s">
        <v>831</v>
      </c>
      <c r="C82" s="152">
        <v>13</v>
      </c>
      <c r="D82" s="133">
        <v>279240</v>
      </c>
      <c r="E82" s="134">
        <v>209430</v>
      </c>
      <c r="F82" s="134">
        <v>174525</v>
      </c>
      <c r="G82" s="135">
        <v>104715</v>
      </c>
      <c r="H82" s="133">
        <v>296553</v>
      </c>
      <c r="I82" s="134">
        <v>222414</v>
      </c>
      <c r="J82" s="134">
        <v>185346</v>
      </c>
      <c r="K82" s="136">
        <v>111207</v>
      </c>
      <c r="L82" s="155"/>
      <c r="W82" s="109"/>
      <c r="X82" s="109"/>
      <c r="Y82" s="350"/>
      <c r="Z82" s="350"/>
      <c r="AA82" s="350"/>
      <c r="AB82" s="350"/>
      <c r="AC82" s="350"/>
      <c r="AD82" s="350"/>
    </row>
    <row r="83" spans="1:30" s="159" customFormat="1" ht="14.4" thickBot="1">
      <c r="A83" s="124"/>
      <c r="B83" s="137" t="s">
        <v>832</v>
      </c>
      <c r="C83" s="157">
        <v>14</v>
      </c>
      <c r="D83" s="139">
        <v>283431</v>
      </c>
      <c r="E83" s="140">
        <v>212574</v>
      </c>
      <c r="F83" s="140">
        <v>177144</v>
      </c>
      <c r="G83" s="146">
        <v>106287</v>
      </c>
      <c r="H83" s="139">
        <v>301005</v>
      </c>
      <c r="I83" s="140">
        <v>225753</v>
      </c>
      <c r="J83" s="140">
        <v>188127</v>
      </c>
      <c r="K83" s="141">
        <v>112878</v>
      </c>
      <c r="L83" s="155"/>
      <c r="W83" s="109"/>
      <c r="X83" s="109"/>
      <c r="Y83" s="350"/>
      <c r="Z83" s="350"/>
      <c r="AA83" s="350"/>
      <c r="AB83" s="350"/>
      <c r="AC83" s="350"/>
      <c r="AD83" s="350"/>
    </row>
    <row r="84" spans="1:30" s="159" customFormat="1" ht="14.4" thickBot="1">
      <c r="A84" s="124"/>
      <c r="B84" s="147"/>
      <c r="C84" s="148"/>
      <c r="D84" s="149"/>
      <c r="E84" s="150"/>
      <c r="F84" s="150"/>
      <c r="G84" s="150"/>
      <c r="H84" s="158"/>
      <c r="I84" s="156"/>
      <c r="J84" s="156"/>
      <c r="K84" s="156"/>
      <c r="L84" s="155"/>
      <c r="W84" s="109"/>
      <c r="X84" s="109"/>
      <c r="Y84" s="350"/>
      <c r="Z84" s="350"/>
      <c r="AA84" s="350"/>
      <c r="AB84" s="350"/>
      <c r="AC84" s="350"/>
      <c r="AD84" s="350"/>
    </row>
    <row r="85" spans="1:30" ht="16.2" thickBot="1">
      <c r="A85" s="116"/>
      <c r="B85" s="1134" t="s">
        <v>833</v>
      </c>
      <c r="C85" s="1134"/>
      <c r="D85" s="1134"/>
      <c r="E85" s="1134"/>
      <c r="F85" s="1134"/>
      <c r="G85" s="1134"/>
      <c r="H85" s="1134"/>
      <c r="I85" s="1134"/>
      <c r="J85" s="1134"/>
      <c r="K85" s="1134"/>
    </row>
    <row r="86" spans="1:30" ht="18.600000000000001" thickBot="1">
      <c r="A86" s="116"/>
      <c r="B86" s="123"/>
      <c r="C86" s="123"/>
      <c r="D86" s="1135" t="s">
        <v>773</v>
      </c>
      <c r="E86" s="1136"/>
      <c r="F86" s="1136"/>
      <c r="G86" s="1137"/>
      <c r="H86" s="1123" t="s">
        <v>773</v>
      </c>
      <c r="I86" s="1124"/>
      <c r="J86" s="1124"/>
      <c r="K86" s="1125"/>
      <c r="Y86" s="231" t="s">
        <v>1131</v>
      </c>
    </row>
    <row r="87" spans="1:30" s="159" customFormat="1">
      <c r="A87" s="159">
        <v>5</v>
      </c>
      <c r="B87" s="125" t="s">
        <v>834</v>
      </c>
      <c r="C87" s="160">
        <v>1</v>
      </c>
      <c r="D87" s="127">
        <v>220047</v>
      </c>
      <c r="E87" s="128">
        <v>165036</v>
      </c>
      <c r="F87" s="128">
        <v>137529</v>
      </c>
      <c r="G87" s="129">
        <v>82518</v>
      </c>
      <c r="H87" s="161">
        <v>233691</v>
      </c>
      <c r="I87" s="128">
        <v>175269</v>
      </c>
      <c r="J87" s="128">
        <v>146058</v>
      </c>
      <c r="K87" s="130">
        <v>87633</v>
      </c>
      <c r="L87" s="155"/>
      <c r="W87" s="109"/>
      <c r="X87" s="109"/>
      <c r="Y87" s="503"/>
      <c r="Z87" s="502"/>
      <c r="AA87" s="502"/>
      <c r="AB87" s="502"/>
      <c r="AC87" s="502"/>
      <c r="AD87" s="502"/>
    </row>
    <row r="88" spans="1:30" s="159" customFormat="1" ht="27.6">
      <c r="B88" s="131" t="s">
        <v>835</v>
      </c>
      <c r="C88" s="162"/>
      <c r="D88" s="148"/>
      <c r="E88" s="162"/>
      <c r="F88" s="162"/>
      <c r="G88" s="162"/>
      <c r="H88" s="163"/>
      <c r="I88" s="162"/>
      <c r="J88" s="162"/>
      <c r="K88" s="164"/>
      <c r="W88" s="109"/>
      <c r="X88" s="109"/>
      <c r="Y88" s="505" t="s">
        <v>1206</v>
      </c>
      <c r="Z88" s="506" t="s">
        <v>1206</v>
      </c>
      <c r="AA88" s="506" t="s">
        <v>1206</v>
      </c>
      <c r="AB88" s="506" t="s">
        <v>1207</v>
      </c>
      <c r="AC88" s="507" t="s">
        <v>1208</v>
      </c>
      <c r="AD88" s="508" t="str">
        <f>"Total annual cost ("&amp;currency_enter&amp;")"</f>
        <v>Total annual cost ()</v>
      </c>
    </row>
    <row r="89" spans="1:30" s="159" customFormat="1">
      <c r="B89" s="131" t="s">
        <v>836</v>
      </c>
      <c r="C89" s="162"/>
      <c r="D89" s="148"/>
      <c r="E89" s="162"/>
      <c r="F89" s="162"/>
      <c r="G89" s="162"/>
      <c r="H89" s="163"/>
      <c r="I89" s="162"/>
      <c r="J89" s="162"/>
      <c r="K89" s="164"/>
      <c r="W89" s="109"/>
      <c r="X89" s="109"/>
      <c r="Y89" s="509" t="s">
        <v>1203</v>
      </c>
      <c r="Z89" s="510" t="s">
        <v>1204</v>
      </c>
      <c r="AA89" s="511" t="s">
        <v>1205</v>
      </c>
      <c r="AB89" s="511"/>
      <c r="AC89" s="512"/>
      <c r="AD89" s="513">
        <v>2019</v>
      </c>
    </row>
    <row r="90" spans="1:30" s="159" customFormat="1">
      <c r="B90" s="131" t="s">
        <v>837</v>
      </c>
      <c r="C90" s="162"/>
      <c r="D90" s="148"/>
      <c r="E90" s="162"/>
      <c r="F90" s="162"/>
      <c r="G90" s="162"/>
      <c r="H90" s="163"/>
      <c r="I90" s="162"/>
      <c r="J90" s="162"/>
      <c r="K90" s="164"/>
      <c r="W90" s="109"/>
      <c r="X90" s="109"/>
      <c r="Y90" s="350"/>
      <c r="Z90" s="350"/>
      <c r="AA90" s="350"/>
      <c r="AB90" s="365">
        <v>233691</v>
      </c>
      <c r="AC90" s="365">
        <f>AB90*35%</f>
        <v>81791.849999999991</v>
      </c>
      <c r="AD90" s="365">
        <f>SUM(AB90:AC90)</f>
        <v>315482.84999999998</v>
      </c>
    </row>
    <row r="91" spans="1:30" s="159" customFormat="1">
      <c r="B91" s="131" t="s">
        <v>838</v>
      </c>
      <c r="C91" s="162"/>
      <c r="D91" s="148"/>
      <c r="E91" s="162"/>
      <c r="F91" s="162"/>
      <c r="G91" s="162"/>
      <c r="H91" s="163"/>
      <c r="I91" s="162"/>
      <c r="J91" s="162"/>
      <c r="K91" s="164"/>
      <c r="W91" s="352" t="s">
        <v>836</v>
      </c>
      <c r="X91" s="109"/>
      <c r="Y91" s="350"/>
      <c r="Z91" s="350"/>
      <c r="AA91" s="350"/>
      <c r="AB91" s="365">
        <v>233691</v>
      </c>
      <c r="AC91" s="365">
        <f t="shared" ref="AC91:AC98" si="0">AB91*35%</f>
        <v>81791.849999999991</v>
      </c>
      <c r="AD91" s="365">
        <f t="shared" ref="AD91:AD98" si="1">SUM(AB91:AC91)</f>
        <v>315482.84999999998</v>
      </c>
    </row>
    <row r="92" spans="1:30" s="159" customFormat="1">
      <c r="B92" s="131" t="s">
        <v>839</v>
      </c>
      <c r="C92" s="162"/>
      <c r="D92" s="148"/>
      <c r="E92" s="162"/>
      <c r="F92" s="162"/>
      <c r="G92" s="162"/>
      <c r="H92" s="163"/>
      <c r="I92" s="162"/>
      <c r="J92" s="162"/>
      <c r="K92" s="164"/>
      <c r="W92" s="352" t="s">
        <v>837</v>
      </c>
      <c r="X92" s="109"/>
      <c r="Y92" s="350"/>
      <c r="Z92" s="350"/>
      <c r="AA92" s="350"/>
      <c r="AB92" s="365">
        <v>233691</v>
      </c>
      <c r="AC92" s="365">
        <f t="shared" si="0"/>
        <v>81791.849999999991</v>
      </c>
      <c r="AD92" s="365">
        <f t="shared" si="1"/>
        <v>315482.84999999998</v>
      </c>
    </row>
    <row r="93" spans="1:30" s="159" customFormat="1">
      <c r="B93" s="131" t="s">
        <v>840</v>
      </c>
      <c r="C93" s="162"/>
      <c r="D93" s="148"/>
      <c r="E93" s="162"/>
      <c r="F93" s="162"/>
      <c r="G93" s="162"/>
      <c r="H93" s="163"/>
      <c r="I93" s="162"/>
      <c r="J93" s="162"/>
      <c r="K93" s="164"/>
      <c r="W93" s="352" t="s">
        <v>839</v>
      </c>
      <c r="X93" s="109"/>
      <c r="Y93" s="350"/>
      <c r="Z93" s="350"/>
      <c r="AA93" s="350"/>
      <c r="AB93" s="365">
        <v>233691</v>
      </c>
      <c r="AC93" s="365">
        <f t="shared" si="0"/>
        <v>81791.849999999991</v>
      </c>
      <c r="AD93" s="365">
        <f t="shared" si="1"/>
        <v>315482.84999999998</v>
      </c>
    </row>
    <row r="94" spans="1:30" s="159" customFormat="1">
      <c r="B94" s="131" t="s">
        <v>841</v>
      </c>
      <c r="C94" s="162"/>
      <c r="D94" s="148"/>
      <c r="E94" s="162"/>
      <c r="F94" s="162"/>
      <c r="G94" s="162"/>
      <c r="H94" s="163"/>
      <c r="I94" s="162"/>
      <c r="J94" s="162"/>
      <c r="K94" s="164"/>
      <c r="W94" s="352" t="s">
        <v>841</v>
      </c>
      <c r="X94" s="109"/>
      <c r="Y94" s="350"/>
      <c r="Z94" s="350"/>
      <c r="AA94" s="350"/>
      <c r="AB94" s="365">
        <v>233691</v>
      </c>
      <c r="AC94" s="365">
        <f t="shared" si="0"/>
        <v>81791.849999999991</v>
      </c>
      <c r="AD94" s="365">
        <f t="shared" si="1"/>
        <v>315482.84999999998</v>
      </c>
    </row>
    <row r="95" spans="1:30" s="159" customFormat="1">
      <c r="B95" s="131" t="s">
        <v>842</v>
      </c>
      <c r="C95" s="162"/>
      <c r="D95" s="148"/>
      <c r="E95" s="162"/>
      <c r="F95" s="162"/>
      <c r="G95" s="162"/>
      <c r="H95" s="163"/>
      <c r="I95" s="162"/>
      <c r="J95" s="162"/>
      <c r="K95" s="164"/>
      <c r="W95" s="352" t="s">
        <v>842</v>
      </c>
      <c r="X95" s="109"/>
      <c r="Y95" s="350"/>
      <c r="Z95" s="350"/>
      <c r="AA95" s="350"/>
      <c r="AB95" s="365">
        <v>233691</v>
      </c>
      <c r="AC95" s="365">
        <f t="shared" si="0"/>
        <v>81791.849999999991</v>
      </c>
      <c r="AD95" s="365">
        <f t="shared" si="1"/>
        <v>315482.84999999998</v>
      </c>
    </row>
    <row r="96" spans="1:30" s="159" customFormat="1">
      <c r="B96" s="131" t="s">
        <v>843</v>
      </c>
      <c r="C96" s="162"/>
      <c r="D96" s="148"/>
      <c r="E96" s="162"/>
      <c r="F96" s="162"/>
      <c r="G96" s="162"/>
      <c r="H96" s="163"/>
      <c r="I96" s="162"/>
      <c r="J96" s="162"/>
      <c r="K96" s="164"/>
      <c r="W96" s="352" t="s">
        <v>846</v>
      </c>
      <c r="X96" s="109"/>
      <c r="Y96" s="350"/>
      <c r="Z96" s="350"/>
      <c r="AA96" s="350"/>
      <c r="AB96" s="365">
        <v>233691</v>
      </c>
      <c r="AC96" s="365">
        <f t="shared" si="0"/>
        <v>81791.849999999991</v>
      </c>
      <c r="AD96" s="365">
        <f t="shared" si="1"/>
        <v>315482.84999999998</v>
      </c>
    </row>
    <row r="97" spans="1:30" s="159" customFormat="1">
      <c r="B97" s="131" t="s">
        <v>844</v>
      </c>
      <c r="C97" s="162"/>
      <c r="D97" s="148"/>
      <c r="E97" s="162"/>
      <c r="F97" s="162"/>
      <c r="G97" s="162"/>
      <c r="H97" s="163"/>
      <c r="I97" s="162"/>
      <c r="J97" s="162"/>
      <c r="K97" s="164"/>
      <c r="W97" s="352" t="s">
        <v>850</v>
      </c>
      <c r="X97" s="109"/>
      <c r="Y97" s="350"/>
      <c r="Z97" s="350"/>
      <c r="AA97" s="350"/>
      <c r="AB97" s="365">
        <v>233691</v>
      </c>
      <c r="AC97" s="365">
        <f t="shared" si="0"/>
        <v>81791.849999999991</v>
      </c>
      <c r="AD97" s="365">
        <f t="shared" si="1"/>
        <v>315482.84999999998</v>
      </c>
    </row>
    <row r="98" spans="1:30" s="159" customFormat="1">
      <c r="B98" s="131" t="s">
        <v>845</v>
      </c>
      <c r="C98" s="162"/>
      <c r="D98" s="148"/>
      <c r="E98" s="162"/>
      <c r="F98" s="162"/>
      <c r="G98" s="162"/>
      <c r="H98" s="163"/>
      <c r="I98" s="162"/>
      <c r="J98" s="162"/>
      <c r="K98" s="164"/>
      <c r="W98" s="352" t="s">
        <v>852</v>
      </c>
      <c r="X98" s="109"/>
      <c r="Y98" s="350"/>
      <c r="Z98" s="350"/>
      <c r="AA98" s="350"/>
      <c r="AB98" s="365">
        <v>233691</v>
      </c>
      <c r="AC98" s="365">
        <f t="shared" si="0"/>
        <v>81791.849999999991</v>
      </c>
      <c r="AD98" s="365">
        <f t="shared" si="1"/>
        <v>315482.84999999998</v>
      </c>
    </row>
    <row r="99" spans="1:30" s="159" customFormat="1">
      <c r="B99" s="131" t="s">
        <v>846</v>
      </c>
      <c r="C99" s="162"/>
      <c r="D99" s="148"/>
      <c r="E99" s="162"/>
      <c r="F99" s="162"/>
      <c r="G99" s="162"/>
      <c r="H99" s="163"/>
      <c r="I99" s="162"/>
      <c r="J99" s="162"/>
      <c r="K99" s="164"/>
      <c r="W99" s="109"/>
      <c r="X99" s="109"/>
      <c r="Y99" s="350"/>
      <c r="Z99" s="350"/>
      <c r="AA99" s="350"/>
      <c r="AB99" s="350"/>
      <c r="AC99" s="350"/>
      <c r="AD99" s="350"/>
    </row>
    <row r="100" spans="1:30" s="159" customFormat="1">
      <c r="B100" s="131" t="s">
        <v>847</v>
      </c>
      <c r="C100" s="162"/>
      <c r="D100" s="148"/>
      <c r="E100" s="162"/>
      <c r="F100" s="162"/>
      <c r="G100" s="162"/>
      <c r="H100" s="163"/>
      <c r="I100" s="162"/>
      <c r="J100" s="162"/>
      <c r="K100" s="164"/>
      <c r="W100" s="109"/>
      <c r="X100" s="109"/>
      <c r="Y100" s="350"/>
      <c r="Z100" s="350"/>
      <c r="AA100" s="350"/>
      <c r="AB100" s="350"/>
      <c r="AC100" s="350"/>
      <c r="AD100" s="350"/>
    </row>
    <row r="101" spans="1:30" s="159" customFormat="1">
      <c r="B101" s="131" t="s">
        <v>848</v>
      </c>
      <c r="C101" s="162"/>
      <c r="D101" s="148"/>
      <c r="E101" s="162"/>
      <c r="F101" s="162"/>
      <c r="G101" s="162"/>
      <c r="H101" s="163"/>
      <c r="I101" s="162"/>
      <c r="J101" s="162"/>
      <c r="K101" s="164"/>
      <c r="W101" s="109"/>
      <c r="X101" s="109"/>
      <c r="Y101" s="350"/>
      <c r="Z101" s="350"/>
      <c r="AA101" s="350"/>
      <c r="AB101" s="350"/>
      <c r="AC101" s="350"/>
      <c r="AD101" s="350"/>
    </row>
    <row r="102" spans="1:30" s="159" customFormat="1">
      <c r="B102" s="131" t="s">
        <v>849</v>
      </c>
      <c r="C102" s="162"/>
      <c r="D102" s="148"/>
      <c r="E102" s="162"/>
      <c r="F102" s="162"/>
      <c r="G102" s="162"/>
      <c r="H102" s="163"/>
      <c r="I102" s="162"/>
      <c r="J102" s="162"/>
      <c r="K102" s="164"/>
      <c r="W102" s="109"/>
      <c r="X102" s="109"/>
      <c r="Y102" s="350"/>
      <c r="Z102" s="350"/>
      <c r="AA102" s="350"/>
      <c r="AB102" s="350"/>
      <c r="AC102" s="350"/>
      <c r="AD102" s="350"/>
    </row>
    <row r="103" spans="1:30" s="159" customFormat="1">
      <c r="B103" s="131" t="s">
        <v>850</v>
      </c>
      <c r="C103" s="162"/>
      <c r="D103" s="148"/>
      <c r="E103" s="162"/>
      <c r="F103" s="162"/>
      <c r="G103" s="162"/>
      <c r="H103" s="163"/>
      <c r="I103" s="162"/>
      <c r="J103" s="162"/>
      <c r="K103" s="164"/>
      <c r="W103" s="109"/>
      <c r="X103" s="109"/>
      <c r="Y103" s="350"/>
      <c r="Z103" s="350"/>
      <c r="AA103" s="350"/>
      <c r="AB103" s="350"/>
      <c r="AC103" s="350"/>
      <c r="AD103" s="350"/>
    </row>
    <row r="104" spans="1:30" s="159" customFormat="1">
      <c r="B104" s="131" t="s">
        <v>851</v>
      </c>
      <c r="C104" s="162"/>
      <c r="D104" s="148"/>
      <c r="E104" s="162"/>
      <c r="F104" s="162"/>
      <c r="G104" s="162"/>
      <c r="H104" s="163"/>
      <c r="I104" s="162"/>
      <c r="J104" s="162"/>
      <c r="K104" s="164"/>
      <c r="W104" s="109"/>
      <c r="X104" s="109"/>
      <c r="Y104" s="350"/>
      <c r="Z104" s="350"/>
      <c r="AA104" s="350"/>
      <c r="AB104" s="350"/>
      <c r="AC104" s="350"/>
      <c r="AD104" s="350"/>
    </row>
    <row r="105" spans="1:30" s="159" customFormat="1">
      <c r="B105" s="131" t="s">
        <v>852</v>
      </c>
      <c r="C105" s="162"/>
      <c r="D105" s="148"/>
      <c r="E105" s="162"/>
      <c r="F105" s="162"/>
      <c r="G105" s="162"/>
      <c r="H105" s="163"/>
      <c r="I105" s="162"/>
      <c r="J105" s="162"/>
      <c r="K105" s="164"/>
      <c r="W105" s="109"/>
      <c r="X105" s="109"/>
      <c r="Y105" s="350"/>
      <c r="Z105" s="350"/>
      <c r="AA105" s="350"/>
      <c r="AB105" s="350"/>
      <c r="AC105" s="350"/>
      <c r="AD105" s="350"/>
    </row>
    <row r="106" spans="1:30" s="159" customFormat="1">
      <c r="B106" s="131" t="s">
        <v>853</v>
      </c>
      <c r="C106" s="162"/>
      <c r="D106" s="148"/>
      <c r="E106" s="162"/>
      <c r="F106" s="162"/>
      <c r="G106" s="162"/>
      <c r="H106" s="163"/>
      <c r="I106" s="162"/>
      <c r="J106" s="162"/>
      <c r="K106" s="164"/>
      <c r="W106" s="109"/>
      <c r="X106" s="109"/>
      <c r="Y106" s="350"/>
      <c r="Z106" s="350"/>
      <c r="AA106" s="350"/>
      <c r="AB106" s="350"/>
      <c r="AC106" s="350"/>
      <c r="AD106" s="350"/>
    </row>
    <row r="107" spans="1:30" s="159" customFormat="1">
      <c r="B107" s="131" t="s">
        <v>854</v>
      </c>
      <c r="C107" s="162"/>
      <c r="D107" s="148"/>
      <c r="E107" s="162"/>
      <c r="F107" s="162"/>
      <c r="G107" s="162"/>
      <c r="H107" s="163"/>
      <c r="I107" s="162"/>
      <c r="J107" s="162"/>
      <c r="K107" s="164"/>
      <c r="W107" s="109"/>
      <c r="X107" s="109"/>
      <c r="Y107" s="231" t="s">
        <v>1131</v>
      </c>
      <c r="Z107" s="350"/>
      <c r="AA107" s="350"/>
      <c r="AB107" s="350"/>
      <c r="AC107" s="350"/>
      <c r="AD107" s="350"/>
    </row>
    <row r="108" spans="1:30" s="159" customFormat="1">
      <c r="B108" s="131" t="s">
        <v>855</v>
      </c>
      <c r="C108" s="162"/>
      <c r="D108" s="148"/>
      <c r="E108" s="162"/>
      <c r="F108" s="162"/>
      <c r="G108" s="162"/>
      <c r="H108" s="163"/>
      <c r="I108" s="162"/>
      <c r="J108" s="162"/>
      <c r="K108" s="164"/>
      <c r="W108" s="502"/>
      <c r="X108" s="502"/>
      <c r="Y108" s="503"/>
      <c r="Z108" s="502"/>
      <c r="AA108" s="502"/>
      <c r="AB108" s="502"/>
      <c r="AC108" s="502"/>
      <c r="AD108" s="502"/>
    </row>
    <row r="109" spans="1:30" s="159" customFormat="1" ht="27.6">
      <c r="B109" s="131" t="s">
        <v>856</v>
      </c>
      <c r="C109" s="162"/>
      <c r="D109" s="148"/>
      <c r="E109" s="162"/>
      <c r="F109" s="162"/>
      <c r="G109" s="162"/>
      <c r="H109" s="163"/>
      <c r="I109" s="162"/>
      <c r="J109" s="162"/>
      <c r="K109" s="164"/>
      <c r="V109" s="504"/>
      <c r="W109" s="350"/>
      <c r="X109" s="353"/>
      <c r="Y109" s="505" t="s">
        <v>1206</v>
      </c>
      <c r="Z109" s="506" t="s">
        <v>1206</v>
      </c>
      <c r="AA109" s="506" t="s">
        <v>1206</v>
      </c>
      <c r="AB109" s="506" t="s">
        <v>1207</v>
      </c>
      <c r="AC109" s="507" t="s">
        <v>1208</v>
      </c>
      <c r="AD109" s="508" t="str">
        <f>"Total annual cost ("&amp;currency_enter&amp;")"</f>
        <v>Total annual cost ()</v>
      </c>
    </row>
    <row r="110" spans="1:30" s="159" customFormat="1" ht="14.4" thickBot="1">
      <c r="B110" s="131" t="s">
        <v>857</v>
      </c>
      <c r="C110" s="165"/>
      <c r="D110" s="166"/>
      <c r="E110" s="167"/>
      <c r="F110" s="167"/>
      <c r="G110" s="167"/>
      <c r="H110" s="168"/>
      <c r="I110" s="162"/>
      <c r="J110" s="162"/>
      <c r="K110" s="164"/>
      <c r="V110" s="504"/>
      <c r="W110" s="350"/>
      <c r="X110" s="350"/>
      <c r="Y110" s="509" t="s">
        <v>1203</v>
      </c>
      <c r="Z110" s="510" t="s">
        <v>1204</v>
      </c>
      <c r="AA110" s="511" t="s">
        <v>1205</v>
      </c>
      <c r="AB110" s="511"/>
      <c r="AC110" s="512"/>
      <c r="AD110" s="513">
        <v>2019</v>
      </c>
    </row>
    <row r="111" spans="1:30" s="159" customFormat="1">
      <c r="A111" s="159">
        <v>6</v>
      </c>
      <c r="B111" s="169" t="s">
        <v>858</v>
      </c>
      <c r="C111" s="170">
        <v>1</v>
      </c>
      <c r="D111" s="127">
        <v>300828</v>
      </c>
      <c r="E111" s="128">
        <v>225621</v>
      </c>
      <c r="F111" s="128">
        <v>188019</v>
      </c>
      <c r="G111" s="129">
        <v>112812</v>
      </c>
      <c r="H111" s="127">
        <v>317976</v>
      </c>
      <c r="I111" s="128">
        <v>238482</v>
      </c>
      <c r="J111" s="128">
        <v>198735</v>
      </c>
      <c r="K111" s="130">
        <v>119241</v>
      </c>
      <c r="L111" s="155"/>
      <c r="V111" s="504"/>
      <c r="W111" s="350"/>
      <c r="X111" s="350"/>
      <c r="Y111" s="350"/>
      <c r="Z111" s="350"/>
      <c r="AA111" s="350"/>
      <c r="AB111" s="350"/>
      <c r="AC111" s="350"/>
      <c r="AD111" s="350"/>
    </row>
    <row r="112" spans="1:30" s="159" customFormat="1">
      <c r="B112" s="171" t="s">
        <v>859</v>
      </c>
      <c r="C112" s="172">
        <v>2</v>
      </c>
      <c r="D112" s="133">
        <v>303921</v>
      </c>
      <c r="E112" s="134">
        <v>227940</v>
      </c>
      <c r="F112" s="134">
        <v>189951</v>
      </c>
      <c r="G112" s="135">
        <v>113970</v>
      </c>
      <c r="H112" s="133">
        <v>321243</v>
      </c>
      <c r="I112" s="134">
        <v>240933</v>
      </c>
      <c r="J112" s="134">
        <v>200778</v>
      </c>
      <c r="K112" s="136">
        <v>120465</v>
      </c>
      <c r="L112" s="155"/>
      <c r="V112" s="504"/>
      <c r="W112" s="514" t="s">
        <v>756</v>
      </c>
      <c r="X112" s="514"/>
      <c r="Y112" s="365">
        <f>MEDIAN($H$111:$H$120)</f>
        <v>338443.5</v>
      </c>
      <c r="Z112" s="365">
        <f>MEDIAN($H$135:$H$144)</f>
        <v>398671.5</v>
      </c>
      <c r="AA112" s="365">
        <f>MEDIAN($H$159:$H$172)</f>
        <v>483813</v>
      </c>
      <c r="AB112" s="365">
        <f>AVERAGE(Y112:AA112)</f>
        <v>406976</v>
      </c>
      <c r="AC112" s="365">
        <f>AB112*35%</f>
        <v>142441.59999999998</v>
      </c>
      <c r="AD112" s="365">
        <f>SUM(AB112:AC112)</f>
        <v>549417.6</v>
      </c>
    </row>
    <row r="113" spans="2:30" s="159" customFormat="1">
      <c r="B113" s="171" t="s">
        <v>860</v>
      </c>
      <c r="C113" s="172">
        <v>3</v>
      </c>
      <c r="D113" s="133">
        <v>308481</v>
      </c>
      <c r="E113" s="134">
        <v>231360</v>
      </c>
      <c r="F113" s="134">
        <v>192801</v>
      </c>
      <c r="G113" s="135">
        <v>115680</v>
      </c>
      <c r="H113" s="133">
        <v>326064</v>
      </c>
      <c r="I113" s="134">
        <v>244548</v>
      </c>
      <c r="J113" s="134">
        <v>203790</v>
      </c>
      <c r="K113" s="136">
        <v>122274</v>
      </c>
      <c r="L113" s="155"/>
      <c r="V113" s="504"/>
      <c r="W113" s="352" t="s">
        <v>757</v>
      </c>
      <c r="X113" s="352"/>
      <c r="Y113" s="365">
        <f t="shared" ref="Y113:Y119" si="2">MEDIAN($H$111:$H$120)</f>
        <v>338443.5</v>
      </c>
      <c r="Z113" s="365">
        <f t="shared" ref="Z113:Z119" si="3">MEDIAN($H$135:$H$144)</f>
        <v>398671.5</v>
      </c>
      <c r="AA113" s="365">
        <f t="shared" ref="AA113:AA119" si="4">MEDIAN($H$159:$H$172)</f>
        <v>483813</v>
      </c>
      <c r="AB113" s="365">
        <f t="shared" ref="AB113:AB118" si="5">AVERAGE(Y113:AA113)</f>
        <v>406976</v>
      </c>
      <c r="AC113" s="365">
        <f t="shared" ref="AC113:AC118" si="6">AB113*35%</f>
        <v>142441.59999999998</v>
      </c>
      <c r="AD113" s="365">
        <f t="shared" ref="AD113:AD118" si="7">SUM(AB113:AC113)</f>
        <v>549417.6</v>
      </c>
    </row>
    <row r="114" spans="2:30" s="159" customFormat="1">
      <c r="B114" s="171" t="s">
        <v>861</v>
      </c>
      <c r="C114" s="172">
        <v>4</v>
      </c>
      <c r="D114" s="133">
        <v>313107</v>
      </c>
      <c r="E114" s="134">
        <v>234831</v>
      </c>
      <c r="F114" s="134">
        <v>195693</v>
      </c>
      <c r="G114" s="135">
        <v>117414</v>
      </c>
      <c r="H114" s="133">
        <v>330954</v>
      </c>
      <c r="I114" s="134">
        <v>248217</v>
      </c>
      <c r="J114" s="134">
        <v>206847</v>
      </c>
      <c r="K114" s="136">
        <v>124107</v>
      </c>
      <c r="L114" s="155"/>
      <c r="V114" s="504"/>
      <c r="W114" s="352" t="s">
        <v>1183</v>
      </c>
      <c r="X114" s="352"/>
      <c r="Y114" s="365">
        <f t="shared" si="2"/>
        <v>338443.5</v>
      </c>
      <c r="Z114" s="365">
        <f t="shared" si="3"/>
        <v>398671.5</v>
      </c>
      <c r="AA114" s="365">
        <f t="shared" si="4"/>
        <v>483813</v>
      </c>
      <c r="AB114" s="365">
        <f t="shared" si="5"/>
        <v>406976</v>
      </c>
      <c r="AC114" s="365">
        <f t="shared" si="6"/>
        <v>142441.59999999998</v>
      </c>
      <c r="AD114" s="365">
        <f t="shared" si="7"/>
        <v>549417.6</v>
      </c>
    </row>
    <row r="115" spans="2:30" s="159" customFormat="1">
      <c r="B115" s="191" t="s">
        <v>862</v>
      </c>
      <c r="C115" s="172">
        <v>5</v>
      </c>
      <c r="D115" s="133">
        <v>317811</v>
      </c>
      <c r="E115" s="134">
        <v>238359</v>
      </c>
      <c r="F115" s="134">
        <v>198633</v>
      </c>
      <c r="G115" s="135">
        <v>119178</v>
      </c>
      <c r="H115" s="133">
        <v>335925</v>
      </c>
      <c r="I115" s="134">
        <v>251943</v>
      </c>
      <c r="J115" s="134">
        <v>209952</v>
      </c>
      <c r="K115" s="136">
        <v>125973</v>
      </c>
      <c r="L115" s="155"/>
      <c r="V115" s="504"/>
      <c r="W115" s="352" t="s">
        <v>1185</v>
      </c>
      <c r="X115" s="352"/>
      <c r="Y115" s="365">
        <f t="shared" si="2"/>
        <v>338443.5</v>
      </c>
      <c r="Z115" s="365">
        <f t="shared" si="3"/>
        <v>398671.5</v>
      </c>
      <c r="AA115" s="365">
        <f t="shared" si="4"/>
        <v>483813</v>
      </c>
      <c r="AB115" s="365">
        <f t="shared" si="5"/>
        <v>406976</v>
      </c>
      <c r="AC115" s="365">
        <f t="shared" si="6"/>
        <v>142441.59999999998</v>
      </c>
      <c r="AD115" s="365">
        <f t="shared" si="7"/>
        <v>549417.6</v>
      </c>
    </row>
    <row r="116" spans="2:30" s="159" customFormat="1">
      <c r="B116" s="191" t="s">
        <v>863</v>
      </c>
      <c r="C116" s="172">
        <v>6</v>
      </c>
      <c r="D116" s="133">
        <v>322575</v>
      </c>
      <c r="E116" s="134">
        <v>241932</v>
      </c>
      <c r="F116" s="134">
        <v>201609</v>
      </c>
      <c r="G116" s="135">
        <v>120966</v>
      </c>
      <c r="H116" s="133">
        <v>340962</v>
      </c>
      <c r="I116" s="134">
        <v>255723</v>
      </c>
      <c r="J116" s="134">
        <v>213102</v>
      </c>
      <c r="K116" s="136">
        <v>127860</v>
      </c>
      <c r="L116" s="155"/>
      <c r="V116" s="504"/>
      <c r="W116" s="352" t="s">
        <v>1184</v>
      </c>
      <c r="X116" s="352"/>
      <c r="Y116" s="365">
        <f t="shared" si="2"/>
        <v>338443.5</v>
      </c>
      <c r="Z116" s="365">
        <f t="shared" si="3"/>
        <v>398671.5</v>
      </c>
      <c r="AA116" s="365">
        <f t="shared" si="4"/>
        <v>483813</v>
      </c>
      <c r="AB116" s="365">
        <f t="shared" si="5"/>
        <v>406976</v>
      </c>
      <c r="AC116" s="365">
        <f t="shared" si="6"/>
        <v>142441.59999999998</v>
      </c>
      <c r="AD116" s="365">
        <f t="shared" si="7"/>
        <v>549417.6</v>
      </c>
    </row>
    <row r="117" spans="2:30" s="159" customFormat="1">
      <c r="B117" s="191" t="s">
        <v>864</v>
      </c>
      <c r="C117" s="172">
        <v>7</v>
      </c>
      <c r="D117" s="133">
        <v>327417</v>
      </c>
      <c r="E117" s="134">
        <v>245562</v>
      </c>
      <c r="F117" s="134">
        <v>204636</v>
      </c>
      <c r="G117" s="135">
        <v>122781</v>
      </c>
      <c r="H117" s="133">
        <v>346080</v>
      </c>
      <c r="I117" s="134">
        <v>259560</v>
      </c>
      <c r="J117" s="134">
        <v>216300</v>
      </c>
      <c r="K117" s="136">
        <v>129780</v>
      </c>
      <c r="L117" s="155"/>
      <c r="V117" s="504"/>
      <c r="W117" s="352" t="s">
        <v>1186</v>
      </c>
      <c r="X117" s="352"/>
      <c r="Y117" s="365">
        <f t="shared" si="2"/>
        <v>338443.5</v>
      </c>
      <c r="Z117" s="365">
        <f t="shared" si="3"/>
        <v>398671.5</v>
      </c>
      <c r="AA117" s="365">
        <f t="shared" si="4"/>
        <v>483813</v>
      </c>
      <c r="AB117" s="365">
        <f t="shared" si="5"/>
        <v>406976</v>
      </c>
      <c r="AC117" s="365">
        <f t="shared" si="6"/>
        <v>142441.59999999998</v>
      </c>
      <c r="AD117" s="365">
        <f t="shared" si="7"/>
        <v>549417.6</v>
      </c>
    </row>
    <row r="118" spans="2:30" s="159" customFormat="1">
      <c r="B118" s="191" t="s">
        <v>865</v>
      </c>
      <c r="C118" s="172">
        <v>8</v>
      </c>
      <c r="D118" s="133">
        <v>332322</v>
      </c>
      <c r="E118" s="134">
        <v>249243</v>
      </c>
      <c r="F118" s="134">
        <v>207702</v>
      </c>
      <c r="G118" s="135">
        <v>124620</v>
      </c>
      <c r="H118" s="133">
        <v>351264</v>
      </c>
      <c r="I118" s="134">
        <v>263448</v>
      </c>
      <c r="J118" s="134">
        <v>219540</v>
      </c>
      <c r="K118" s="136">
        <v>131724</v>
      </c>
      <c r="L118" s="155"/>
      <c r="V118" s="504"/>
      <c r="W118" s="352" t="s">
        <v>1185</v>
      </c>
      <c r="X118" s="352"/>
      <c r="Y118" s="365">
        <f t="shared" si="2"/>
        <v>338443.5</v>
      </c>
      <c r="Z118" s="365">
        <f t="shared" si="3"/>
        <v>398671.5</v>
      </c>
      <c r="AA118" s="365">
        <f t="shared" si="4"/>
        <v>483813</v>
      </c>
      <c r="AB118" s="365">
        <f t="shared" si="5"/>
        <v>406976</v>
      </c>
      <c r="AC118" s="365">
        <f t="shared" si="6"/>
        <v>142441.59999999998</v>
      </c>
      <c r="AD118" s="365">
        <f t="shared" si="7"/>
        <v>549417.6</v>
      </c>
    </row>
    <row r="119" spans="2:30" s="159" customFormat="1">
      <c r="B119" s="191" t="s">
        <v>866</v>
      </c>
      <c r="C119" s="172">
        <v>9</v>
      </c>
      <c r="D119" s="133">
        <v>337308</v>
      </c>
      <c r="E119" s="134">
        <v>252981</v>
      </c>
      <c r="F119" s="134">
        <v>210819</v>
      </c>
      <c r="G119" s="135">
        <v>126492</v>
      </c>
      <c r="H119" s="133">
        <v>356535</v>
      </c>
      <c r="I119" s="134">
        <v>267402</v>
      </c>
      <c r="J119" s="134">
        <v>222834</v>
      </c>
      <c r="K119" s="136">
        <v>133701</v>
      </c>
      <c r="L119" s="155"/>
      <c r="V119" s="504"/>
      <c r="W119" s="352" t="s">
        <v>1385</v>
      </c>
      <c r="X119" s="350"/>
      <c r="Y119" s="365">
        <f t="shared" si="2"/>
        <v>338443.5</v>
      </c>
      <c r="Z119" s="365">
        <f t="shared" si="3"/>
        <v>398671.5</v>
      </c>
      <c r="AA119" s="365">
        <f t="shared" si="4"/>
        <v>483813</v>
      </c>
      <c r="AB119" s="365">
        <f t="shared" ref="AB119" si="8">AVERAGE(Y119:AA119)</f>
        <v>406976</v>
      </c>
      <c r="AC119" s="365">
        <f t="shared" ref="AC119" si="9">AB119*35%</f>
        <v>142441.59999999998</v>
      </c>
      <c r="AD119" s="365">
        <f t="shared" ref="AD119" si="10">SUM(AB119:AC119)</f>
        <v>549417.6</v>
      </c>
    </row>
    <row r="120" spans="2:30" s="159" customFormat="1">
      <c r="B120" s="191" t="s">
        <v>867</v>
      </c>
      <c r="C120" s="172">
        <v>10</v>
      </c>
      <c r="D120" s="133">
        <v>342357</v>
      </c>
      <c r="E120" s="134">
        <v>256767</v>
      </c>
      <c r="F120" s="134">
        <v>213972</v>
      </c>
      <c r="G120" s="135">
        <v>128385</v>
      </c>
      <c r="H120" s="133">
        <v>361872</v>
      </c>
      <c r="I120" s="134">
        <v>271404</v>
      </c>
      <c r="J120" s="134">
        <v>226170</v>
      </c>
      <c r="K120" s="136">
        <v>135702</v>
      </c>
      <c r="L120" s="155"/>
      <c r="W120" s="109"/>
      <c r="X120" s="109"/>
      <c r="Y120" s="109"/>
      <c r="Z120" s="452"/>
      <c r="AA120" s="452"/>
      <c r="AB120" s="452"/>
      <c r="AC120" s="452"/>
      <c r="AD120" s="452"/>
    </row>
    <row r="121" spans="2:30" s="159" customFormat="1">
      <c r="B121" s="191" t="s">
        <v>868</v>
      </c>
      <c r="C121" s="162"/>
      <c r="D121" s="148"/>
      <c r="E121" s="162"/>
      <c r="F121" s="162"/>
      <c r="G121" s="162"/>
      <c r="H121" s="163"/>
      <c r="I121" s="162"/>
      <c r="J121" s="162"/>
      <c r="K121" s="164"/>
      <c r="W121" s="109"/>
      <c r="X121" s="109"/>
      <c r="Y121" s="109"/>
      <c r="Z121" s="452"/>
      <c r="AA121" s="452"/>
      <c r="AB121" s="452"/>
      <c r="AC121" s="452"/>
      <c r="AD121" s="452"/>
    </row>
    <row r="122" spans="2:30" s="159" customFormat="1">
      <c r="B122" s="191" t="s">
        <v>869</v>
      </c>
      <c r="C122" s="162"/>
      <c r="D122" s="148"/>
      <c r="E122" s="162"/>
      <c r="F122" s="162"/>
      <c r="G122" s="162"/>
      <c r="H122" s="163"/>
      <c r="I122" s="162"/>
      <c r="J122" s="162"/>
      <c r="K122" s="164"/>
      <c r="W122" s="109"/>
      <c r="X122" s="109"/>
      <c r="Y122" s="109"/>
      <c r="Z122" s="365"/>
      <c r="AA122" s="365"/>
      <c r="AB122" s="365"/>
      <c r="AC122" s="365"/>
      <c r="AD122" s="365"/>
    </row>
    <row r="123" spans="2:30" s="159" customFormat="1">
      <c r="B123" s="191" t="s">
        <v>870</v>
      </c>
      <c r="C123" s="162"/>
      <c r="D123" s="148"/>
      <c r="E123" s="162"/>
      <c r="F123" s="162"/>
      <c r="G123" s="162"/>
      <c r="H123" s="163"/>
      <c r="I123" s="162"/>
      <c r="J123" s="162"/>
      <c r="K123" s="164"/>
      <c r="W123" s="109"/>
      <c r="X123" s="109"/>
      <c r="Y123" s="109"/>
      <c r="Z123" s="365"/>
      <c r="AA123" s="365"/>
      <c r="AB123" s="365"/>
      <c r="AC123" s="365"/>
      <c r="AD123" s="365"/>
    </row>
    <row r="124" spans="2:30" s="159" customFormat="1">
      <c r="B124" s="191" t="s">
        <v>871</v>
      </c>
      <c r="C124" s="162"/>
      <c r="D124" s="148"/>
      <c r="E124" s="162"/>
      <c r="F124" s="162"/>
      <c r="G124" s="162"/>
      <c r="H124" s="163"/>
      <c r="I124" s="162"/>
      <c r="J124" s="162"/>
      <c r="K124" s="164"/>
      <c r="W124" s="109"/>
      <c r="X124" s="109"/>
      <c r="Y124" s="109"/>
      <c r="Z124" s="365"/>
      <c r="AA124" s="365"/>
      <c r="AB124" s="365"/>
      <c r="AC124" s="365"/>
      <c r="AD124" s="365"/>
    </row>
    <row r="125" spans="2:30" s="159" customFormat="1">
      <c r="B125" s="191" t="s">
        <v>872</v>
      </c>
      <c r="C125" s="162"/>
      <c r="D125" s="148"/>
      <c r="E125" s="162"/>
      <c r="F125" s="162"/>
      <c r="G125" s="162"/>
      <c r="H125" s="163"/>
      <c r="I125" s="162"/>
      <c r="J125" s="162"/>
      <c r="K125" s="164"/>
      <c r="W125" s="109"/>
      <c r="X125" s="109"/>
      <c r="Y125" s="109"/>
      <c r="Z125" s="365"/>
      <c r="AA125" s="365"/>
      <c r="AB125" s="365"/>
      <c r="AC125" s="365"/>
      <c r="AD125" s="365"/>
    </row>
    <row r="126" spans="2:30" s="159" customFormat="1">
      <c r="B126" s="191" t="s">
        <v>873</v>
      </c>
      <c r="C126" s="162"/>
      <c r="D126" s="148"/>
      <c r="E126" s="162"/>
      <c r="F126" s="162"/>
      <c r="G126" s="162"/>
      <c r="H126" s="163"/>
      <c r="I126" s="162"/>
      <c r="J126" s="162"/>
      <c r="K126" s="164"/>
      <c r="W126" s="109"/>
      <c r="X126" s="109"/>
      <c r="Y126" s="109"/>
      <c r="Z126" s="365"/>
      <c r="AA126" s="365"/>
      <c r="AB126" s="365"/>
      <c r="AC126" s="365"/>
      <c r="AD126" s="365"/>
    </row>
    <row r="127" spans="2:30" s="159" customFormat="1">
      <c r="B127" s="191" t="s">
        <v>874</v>
      </c>
      <c r="C127" s="162"/>
      <c r="D127" s="148"/>
      <c r="E127" s="162"/>
      <c r="F127" s="162"/>
      <c r="G127" s="162"/>
      <c r="H127" s="163"/>
      <c r="I127" s="162"/>
      <c r="J127" s="162"/>
      <c r="K127" s="164"/>
      <c r="W127" s="109"/>
      <c r="X127" s="109"/>
      <c r="Y127" s="109"/>
      <c r="Z127" s="365"/>
      <c r="AA127" s="365"/>
      <c r="AB127" s="365"/>
      <c r="AC127" s="365"/>
      <c r="AD127" s="365"/>
    </row>
    <row r="128" spans="2:30" s="159" customFormat="1">
      <c r="B128" s="191" t="s">
        <v>875</v>
      </c>
      <c r="C128" s="162"/>
      <c r="D128" s="148"/>
      <c r="E128" s="162"/>
      <c r="F128" s="162"/>
      <c r="G128" s="162"/>
      <c r="H128" s="163"/>
      <c r="I128" s="162"/>
      <c r="J128" s="162"/>
      <c r="K128" s="164"/>
      <c r="W128" s="109"/>
      <c r="X128" s="109"/>
      <c r="Y128" s="109"/>
      <c r="Z128" s="365"/>
      <c r="AA128" s="365"/>
      <c r="AB128" s="365"/>
      <c r="AC128" s="365"/>
      <c r="AD128" s="365"/>
    </row>
    <row r="129" spans="1:30" s="159" customFormat="1">
      <c r="B129" s="191" t="s">
        <v>876</v>
      </c>
      <c r="C129" s="162"/>
      <c r="D129" s="148"/>
      <c r="E129" s="162"/>
      <c r="F129" s="162"/>
      <c r="G129" s="162"/>
      <c r="H129" s="163"/>
      <c r="I129" s="162"/>
      <c r="J129" s="162"/>
      <c r="K129" s="164"/>
      <c r="W129" s="109"/>
      <c r="X129" s="109"/>
      <c r="Y129" s="109"/>
      <c r="Z129" s="365"/>
      <c r="AA129" s="365"/>
      <c r="AB129" s="365"/>
      <c r="AC129" s="365"/>
      <c r="AD129" s="365"/>
    </row>
    <row r="130" spans="1:30" s="159" customFormat="1">
      <c r="B130" s="191" t="s">
        <v>877</v>
      </c>
      <c r="C130" s="162"/>
      <c r="D130" s="148"/>
      <c r="E130" s="162"/>
      <c r="F130" s="162"/>
      <c r="G130" s="162"/>
      <c r="H130" s="163"/>
      <c r="I130" s="162"/>
      <c r="J130" s="162"/>
      <c r="K130" s="164"/>
      <c r="W130" s="109"/>
      <c r="X130" s="109"/>
      <c r="Y130" s="109"/>
      <c r="Z130" s="365"/>
      <c r="AA130" s="365"/>
      <c r="AB130" s="365"/>
      <c r="AC130" s="365"/>
      <c r="AD130" s="365"/>
    </row>
    <row r="131" spans="1:30" s="159" customFormat="1">
      <c r="B131" s="191" t="s">
        <v>878</v>
      </c>
      <c r="C131" s="162"/>
      <c r="D131" s="148"/>
      <c r="E131" s="162"/>
      <c r="F131" s="162"/>
      <c r="G131" s="162"/>
      <c r="H131" s="163"/>
      <c r="I131" s="162"/>
      <c r="J131" s="162"/>
      <c r="K131" s="164"/>
      <c r="W131" s="109"/>
      <c r="X131" s="109"/>
      <c r="Y131" s="109"/>
      <c r="Z131" s="365"/>
      <c r="AA131" s="365"/>
      <c r="AB131" s="365"/>
      <c r="AC131" s="365"/>
      <c r="AD131" s="365"/>
    </row>
    <row r="132" spans="1:30" s="159" customFormat="1">
      <c r="B132" s="191" t="s">
        <v>879</v>
      </c>
      <c r="C132" s="162"/>
      <c r="D132" s="148"/>
      <c r="E132" s="162"/>
      <c r="F132" s="162"/>
      <c r="G132" s="162"/>
      <c r="H132" s="163"/>
      <c r="I132" s="162"/>
      <c r="J132" s="162"/>
      <c r="K132" s="164"/>
      <c r="W132" s="109"/>
      <c r="X132" s="109"/>
      <c r="Y132" s="109"/>
      <c r="Z132" s="365"/>
      <c r="AA132" s="365"/>
      <c r="AB132" s="365"/>
      <c r="AC132" s="365"/>
      <c r="AD132" s="365"/>
    </row>
    <row r="133" spans="1:30" s="159" customFormat="1">
      <c r="B133" s="191" t="s">
        <v>880</v>
      </c>
      <c r="C133" s="162"/>
      <c r="D133" s="148"/>
      <c r="E133" s="162"/>
      <c r="F133" s="162"/>
      <c r="G133" s="162"/>
      <c r="H133" s="163"/>
      <c r="I133" s="162"/>
      <c r="J133" s="162"/>
      <c r="K133" s="164"/>
      <c r="W133" s="109"/>
      <c r="X133" s="109"/>
      <c r="Y133" s="109"/>
      <c r="Z133" s="365"/>
      <c r="AA133" s="365"/>
      <c r="AB133" s="365"/>
      <c r="AC133" s="365"/>
      <c r="AD133" s="365"/>
    </row>
    <row r="134" spans="1:30" s="159" customFormat="1" ht="14.4" thickBot="1">
      <c r="B134" s="173" t="s">
        <v>881</v>
      </c>
      <c r="C134" s="167"/>
      <c r="D134" s="148"/>
      <c r="E134" s="162"/>
      <c r="F134" s="162"/>
      <c r="G134" s="162"/>
      <c r="H134" s="163"/>
      <c r="I134" s="162"/>
      <c r="J134" s="162"/>
      <c r="K134" s="164"/>
      <c r="W134" s="109"/>
      <c r="X134" s="109"/>
      <c r="Y134" s="109"/>
      <c r="Z134" s="365"/>
      <c r="AA134" s="365"/>
      <c r="AB134" s="365"/>
      <c r="AC134" s="365"/>
      <c r="AD134" s="365"/>
    </row>
    <row r="135" spans="1:30" s="159" customFormat="1">
      <c r="A135" s="159">
        <v>7</v>
      </c>
      <c r="B135" s="169" t="s">
        <v>882</v>
      </c>
      <c r="C135" s="174">
        <v>1</v>
      </c>
      <c r="D135" s="127">
        <v>352707</v>
      </c>
      <c r="E135" s="128">
        <v>264531</v>
      </c>
      <c r="F135" s="128">
        <v>220443</v>
      </c>
      <c r="G135" s="129">
        <v>132264</v>
      </c>
      <c r="H135" s="127">
        <v>372810</v>
      </c>
      <c r="I135" s="128">
        <v>279609</v>
      </c>
      <c r="J135" s="128">
        <v>233007</v>
      </c>
      <c r="K135" s="130">
        <v>139803</v>
      </c>
      <c r="L135" s="155"/>
      <c r="W135" s="109"/>
      <c r="X135" s="109"/>
      <c r="Y135" s="109"/>
      <c r="Z135" s="365"/>
      <c r="AA135" s="365"/>
      <c r="AB135" s="365"/>
      <c r="AC135" s="365"/>
      <c r="AD135" s="365"/>
    </row>
    <row r="136" spans="1:30" s="159" customFormat="1">
      <c r="B136" s="171" t="s">
        <v>883</v>
      </c>
      <c r="C136" s="175">
        <v>2</v>
      </c>
      <c r="D136" s="133">
        <v>358002</v>
      </c>
      <c r="E136" s="134">
        <v>268503</v>
      </c>
      <c r="F136" s="134">
        <v>223752</v>
      </c>
      <c r="G136" s="135">
        <v>134250</v>
      </c>
      <c r="H136" s="133">
        <v>378408</v>
      </c>
      <c r="I136" s="134">
        <v>283806</v>
      </c>
      <c r="J136" s="134">
        <v>236505</v>
      </c>
      <c r="K136" s="136">
        <v>141903</v>
      </c>
      <c r="L136" s="155"/>
      <c r="W136" s="109"/>
      <c r="X136" s="109"/>
      <c r="Y136" s="109"/>
      <c r="Z136" s="365"/>
      <c r="AA136" s="365"/>
      <c r="AB136" s="365"/>
      <c r="AC136" s="365"/>
      <c r="AD136" s="365"/>
    </row>
    <row r="137" spans="1:30" s="159" customFormat="1">
      <c r="B137" s="171" t="s">
        <v>884</v>
      </c>
      <c r="C137" s="175">
        <v>3</v>
      </c>
      <c r="D137" s="133">
        <v>363375</v>
      </c>
      <c r="E137" s="134">
        <v>272532</v>
      </c>
      <c r="F137" s="134">
        <v>227109</v>
      </c>
      <c r="G137" s="135">
        <v>136266</v>
      </c>
      <c r="H137" s="133">
        <v>384087</v>
      </c>
      <c r="I137" s="134">
        <v>288066</v>
      </c>
      <c r="J137" s="134">
        <v>240054</v>
      </c>
      <c r="K137" s="136">
        <v>144033</v>
      </c>
      <c r="L137" s="155"/>
      <c r="W137" s="109"/>
      <c r="X137" s="109"/>
      <c r="Y137" s="109"/>
      <c r="Z137" s="365"/>
      <c r="AA137" s="365"/>
      <c r="AB137" s="365"/>
      <c r="AC137" s="365"/>
      <c r="AD137" s="365"/>
    </row>
    <row r="138" spans="1:30" s="159" customFormat="1">
      <c r="B138" s="171" t="s">
        <v>885</v>
      </c>
      <c r="C138" s="175">
        <v>4</v>
      </c>
      <c r="D138" s="133">
        <v>368835</v>
      </c>
      <c r="E138" s="134">
        <v>276627</v>
      </c>
      <c r="F138" s="134">
        <v>230523</v>
      </c>
      <c r="G138" s="135">
        <v>138312</v>
      </c>
      <c r="H138" s="133">
        <v>389859</v>
      </c>
      <c r="I138" s="134">
        <v>292395</v>
      </c>
      <c r="J138" s="134">
        <v>243663</v>
      </c>
      <c r="K138" s="136">
        <v>146196</v>
      </c>
      <c r="L138" s="155"/>
      <c r="W138" s="109"/>
      <c r="X138" s="109"/>
      <c r="Y138" s="109"/>
      <c r="Z138" s="365"/>
      <c r="AA138" s="365"/>
      <c r="AB138" s="365"/>
      <c r="AC138" s="365"/>
      <c r="AD138" s="365"/>
    </row>
    <row r="139" spans="1:30" s="159" customFormat="1">
      <c r="B139" s="191" t="s">
        <v>886</v>
      </c>
      <c r="C139" s="175">
        <v>5</v>
      </c>
      <c r="D139" s="133">
        <v>374364</v>
      </c>
      <c r="E139" s="134">
        <v>280773</v>
      </c>
      <c r="F139" s="134">
        <v>233979</v>
      </c>
      <c r="G139" s="135">
        <v>140388</v>
      </c>
      <c r="H139" s="133">
        <v>395703</v>
      </c>
      <c r="I139" s="134">
        <v>296778</v>
      </c>
      <c r="J139" s="134">
        <v>247314</v>
      </c>
      <c r="K139" s="136">
        <v>148389</v>
      </c>
      <c r="L139" s="155"/>
      <c r="W139" s="109"/>
      <c r="X139" s="109"/>
      <c r="Y139" s="109"/>
      <c r="Z139" s="365"/>
      <c r="AA139" s="365"/>
      <c r="AB139" s="365"/>
      <c r="AC139" s="365"/>
      <c r="AD139" s="365"/>
    </row>
    <row r="140" spans="1:30" s="159" customFormat="1">
      <c r="B140" s="191" t="s">
        <v>887</v>
      </c>
      <c r="C140" s="175">
        <v>6</v>
      </c>
      <c r="D140" s="133">
        <v>379980</v>
      </c>
      <c r="E140" s="134">
        <v>284985</v>
      </c>
      <c r="F140" s="134">
        <v>237489</v>
      </c>
      <c r="G140" s="135">
        <v>142494</v>
      </c>
      <c r="H140" s="133">
        <v>401640</v>
      </c>
      <c r="I140" s="134">
        <v>301230</v>
      </c>
      <c r="J140" s="134">
        <v>251025</v>
      </c>
      <c r="K140" s="136">
        <v>150615</v>
      </c>
      <c r="L140" s="155"/>
      <c r="W140" s="109"/>
      <c r="X140" s="109"/>
      <c r="Y140" s="350"/>
      <c r="Z140" s="350"/>
      <c r="AA140" s="350"/>
      <c r="AB140" s="350"/>
      <c r="AC140" s="350"/>
      <c r="AD140" s="350"/>
    </row>
    <row r="141" spans="1:30" s="159" customFormat="1">
      <c r="B141" s="191" t="s">
        <v>888</v>
      </c>
      <c r="C141" s="175">
        <v>7</v>
      </c>
      <c r="D141" s="133">
        <v>385683</v>
      </c>
      <c r="E141" s="134">
        <v>289263</v>
      </c>
      <c r="F141" s="134">
        <v>241053</v>
      </c>
      <c r="G141" s="135">
        <v>144630</v>
      </c>
      <c r="H141" s="133">
        <v>407667</v>
      </c>
      <c r="I141" s="134">
        <v>305751</v>
      </c>
      <c r="J141" s="134">
        <v>254793</v>
      </c>
      <c r="K141" s="136">
        <v>152874</v>
      </c>
      <c r="L141" s="155"/>
      <c r="W141" s="109"/>
      <c r="X141" s="109"/>
      <c r="Y141" s="350"/>
      <c r="Z141" s="350"/>
      <c r="AA141" s="350"/>
      <c r="AB141" s="350"/>
      <c r="AC141" s="350"/>
      <c r="AD141" s="350"/>
    </row>
    <row r="142" spans="1:30" s="159" customFormat="1">
      <c r="B142" s="191" t="s">
        <v>889</v>
      </c>
      <c r="C142" s="175">
        <v>8</v>
      </c>
      <c r="D142" s="133">
        <v>391467</v>
      </c>
      <c r="E142" s="134">
        <v>293601</v>
      </c>
      <c r="F142" s="134">
        <v>244668</v>
      </c>
      <c r="G142" s="135">
        <v>146799</v>
      </c>
      <c r="H142" s="133">
        <v>413781</v>
      </c>
      <c r="I142" s="134">
        <v>310335</v>
      </c>
      <c r="J142" s="134">
        <v>258612</v>
      </c>
      <c r="K142" s="136">
        <v>155169</v>
      </c>
      <c r="L142" s="155"/>
      <c r="W142" s="109"/>
      <c r="X142" s="109"/>
      <c r="Y142" s="350"/>
      <c r="Z142" s="350"/>
      <c r="AA142" s="350"/>
      <c r="AB142" s="350"/>
      <c r="AC142" s="350"/>
      <c r="AD142" s="350"/>
    </row>
    <row r="143" spans="1:30" s="159" customFormat="1">
      <c r="B143" s="191" t="s">
        <v>890</v>
      </c>
      <c r="C143" s="175">
        <v>9</v>
      </c>
      <c r="D143" s="133">
        <v>397332</v>
      </c>
      <c r="E143" s="134">
        <v>297999</v>
      </c>
      <c r="F143" s="134">
        <v>248334</v>
      </c>
      <c r="G143" s="135">
        <v>149001</v>
      </c>
      <c r="H143" s="133">
        <v>419979</v>
      </c>
      <c r="I143" s="134">
        <v>314985</v>
      </c>
      <c r="J143" s="134">
        <v>262488</v>
      </c>
      <c r="K143" s="136">
        <v>157491</v>
      </c>
      <c r="L143" s="155"/>
      <c r="W143" s="109"/>
      <c r="X143" s="109"/>
      <c r="Y143" s="350"/>
      <c r="Z143" s="350"/>
      <c r="AA143" s="350"/>
      <c r="AB143" s="350"/>
      <c r="AC143" s="350"/>
      <c r="AD143" s="350"/>
    </row>
    <row r="144" spans="1:30" s="159" customFormat="1">
      <c r="B144" s="191" t="s">
        <v>891</v>
      </c>
      <c r="C144" s="175">
        <v>10</v>
      </c>
      <c r="D144" s="133">
        <v>403302</v>
      </c>
      <c r="E144" s="134">
        <v>302478</v>
      </c>
      <c r="F144" s="134">
        <v>252063</v>
      </c>
      <c r="G144" s="135">
        <v>151239</v>
      </c>
      <c r="H144" s="133">
        <v>426291</v>
      </c>
      <c r="I144" s="134">
        <v>319719</v>
      </c>
      <c r="J144" s="134">
        <v>266433</v>
      </c>
      <c r="K144" s="136">
        <v>159858</v>
      </c>
      <c r="L144" s="155"/>
      <c r="W144" s="109"/>
      <c r="X144" s="109"/>
      <c r="Y144" s="350"/>
      <c r="Z144" s="350"/>
      <c r="AA144" s="350"/>
      <c r="AB144" s="350"/>
      <c r="AC144" s="350"/>
      <c r="AD144" s="350"/>
    </row>
    <row r="145" spans="1:30" s="159" customFormat="1">
      <c r="B145" s="191" t="s">
        <v>892</v>
      </c>
      <c r="C145" s="176"/>
      <c r="D145" s="148"/>
      <c r="E145" s="162"/>
      <c r="F145" s="162"/>
      <c r="G145" s="162"/>
      <c r="H145" s="148"/>
      <c r="I145" s="162"/>
      <c r="J145" s="162"/>
      <c r="K145" s="164"/>
      <c r="W145" s="109"/>
      <c r="X145" s="109"/>
      <c r="Y145" s="350"/>
      <c r="Z145" s="350"/>
      <c r="AA145" s="350"/>
      <c r="AB145" s="350"/>
      <c r="AC145" s="350"/>
      <c r="AD145" s="350"/>
    </row>
    <row r="146" spans="1:30" s="159" customFormat="1">
      <c r="B146" s="191" t="s">
        <v>893</v>
      </c>
      <c r="C146" s="176"/>
      <c r="D146" s="149"/>
      <c r="E146" s="150"/>
      <c r="F146" s="150"/>
      <c r="G146" s="150"/>
      <c r="H146" s="149"/>
      <c r="I146" s="150"/>
      <c r="J146" s="150"/>
      <c r="K146" s="177"/>
      <c r="W146" s="109"/>
      <c r="X146" s="109"/>
      <c r="Y146" s="350"/>
      <c r="Z146" s="350"/>
      <c r="AA146" s="350"/>
      <c r="AB146" s="350"/>
      <c r="AC146" s="350"/>
      <c r="AD146" s="350"/>
    </row>
    <row r="147" spans="1:30" s="159" customFormat="1">
      <c r="B147" s="191" t="s">
        <v>894</v>
      </c>
      <c r="C147" s="176"/>
      <c r="D147" s="149"/>
      <c r="E147" s="150"/>
      <c r="F147" s="150"/>
      <c r="G147" s="150"/>
      <c r="H147" s="149"/>
      <c r="I147" s="150"/>
      <c r="J147" s="150"/>
      <c r="K147" s="177"/>
      <c r="W147" s="109"/>
      <c r="X147" s="109"/>
      <c r="Y147" s="350"/>
      <c r="Z147" s="350"/>
      <c r="AA147" s="350"/>
      <c r="AB147" s="350"/>
      <c r="AC147" s="350"/>
      <c r="AD147" s="350"/>
    </row>
    <row r="148" spans="1:30" s="159" customFormat="1">
      <c r="B148" s="191" t="s">
        <v>895</v>
      </c>
      <c r="C148" s="176"/>
      <c r="D148" s="149"/>
      <c r="E148" s="150"/>
      <c r="F148" s="150"/>
      <c r="G148" s="150"/>
      <c r="H148" s="149"/>
      <c r="I148" s="150"/>
      <c r="J148" s="150"/>
      <c r="K148" s="177"/>
      <c r="W148" s="109"/>
      <c r="X148" s="109"/>
      <c r="Y148" s="350"/>
      <c r="Z148" s="350"/>
      <c r="AA148" s="350"/>
      <c r="AB148" s="350"/>
      <c r="AC148" s="350"/>
      <c r="AD148" s="350"/>
    </row>
    <row r="149" spans="1:30" s="159" customFormat="1">
      <c r="B149" s="191" t="s">
        <v>896</v>
      </c>
      <c r="C149" s="176"/>
      <c r="D149" s="149"/>
      <c r="E149" s="150"/>
      <c r="F149" s="150"/>
      <c r="G149" s="150"/>
      <c r="H149" s="149"/>
      <c r="I149" s="150"/>
      <c r="J149" s="150"/>
      <c r="K149" s="177"/>
      <c r="W149" s="109"/>
      <c r="X149" s="109"/>
      <c r="Y149" s="350"/>
      <c r="Z149" s="350"/>
      <c r="AA149" s="350"/>
      <c r="AB149" s="350"/>
      <c r="AC149" s="350"/>
      <c r="AD149" s="350"/>
    </row>
    <row r="150" spans="1:30" s="159" customFormat="1">
      <c r="B150" s="191" t="s">
        <v>897</v>
      </c>
      <c r="C150" s="176"/>
      <c r="D150" s="149"/>
      <c r="E150" s="150"/>
      <c r="F150" s="150"/>
      <c r="G150" s="150"/>
      <c r="H150" s="149"/>
      <c r="I150" s="150"/>
      <c r="J150" s="150"/>
      <c r="K150" s="177"/>
      <c r="W150" s="109"/>
      <c r="X150" s="109"/>
      <c r="Y150" s="350"/>
      <c r="Z150" s="350"/>
      <c r="AA150" s="350"/>
      <c r="AB150" s="350"/>
      <c r="AC150" s="350"/>
      <c r="AD150" s="350"/>
    </row>
    <row r="151" spans="1:30" s="159" customFormat="1">
      <c r="B151" s="191" t="s">
        <v>898</v>
      </c>
      <c r="C151" s="176"/>
      <c r="D151" s="149"/>
      <c r="E151" s="150"/>
      <c r="F151" s="150"/>
      <c r="G151" s="150"/>
      <c r="H151" s="149"/>
      <c r="I151" s="150"/>
      <c r="J151" s="150"/>
      <c r="K151" s="177"/>
      <c r="W151" s="109"/>
      <c r="X151" s="109"/>
      <c r="Y151" s="350"/>
      <c r="Z151" s="350"/>
      <c r="AA151" s="350"/>
      <c r="AB151" s="350"/>
      <c r="AC151" s="350"/>
      <c r="AD151" s="350"/>
    </row>
    <row r="152" spans="1:30" s="159" customFormat="1">
      <c r="B152" s="191" t="s">
        <v>899</v>
      </c>
      <c r="C152" s="176"/>
      <c r="D152" s="149"/>
      <c r="E152" s="150"/>
      <c r="F152" s="150"/>
      <c r="G152" s="150"/>
      <c r="H152" s="149"/>
      <c r="I152" s="150"/>
      <c r="J152" s="150"/>
      <c r="K152" s="177"/>
      <c r="W152" s="109"/>
      <c r="X152" s="109"/>
      <c r="Y152" s="350"/>
      <c r="Z152" s="350"/>
      <c r="AA152" s="350"/>
      <c r="AB152" s="350"/>
      <c r="AC152" s="350"/>
      <c r="AD152" s="350"/>
    </row>
    <row r="153" spans="1:30" s="159" customFormat="1">
      <c r="B153" s="191" t="s">
        <v>900</v>
      </c>
      <c r="C153" s="176"/>
      <c r="D153" s="149"/>
      <c r="E153" s="150"/>
      <c r="F153" s="150"/>
      <c r="G153" s="150"/>
      <c r="H153" s="149"/>
      <c r="I153" s="150"/>
      <c r="J153" s="150"/>
      <c r="K153" s="177"/>
      <c r="W153" s="109"/>
      <c r="X153" s="109"/>
      <c r="Y153" s="350"/>
      <c r="Z153" s="350"/>
      <c r="AA153" s="350"/>
      <c r="AB153" s="350"/>
      <c r="AC153" s="350"/>
      <c r="AD153" s="350"/>
    </row>
    <row r="154" spans="1:30" s="159" customFormat="1">
      <c r="B154" s="191" t="s">
        <v>901</v>
      </c>
      <c r="C154" s="176"/>
      <c r="D154" s="149"/>
      <c r="E154" s="150"/>
      <c r="F154" s="150"/>
      <c r="G154" s="150"/>
      <c r="H154" s="149"/>
      <c r="I154" s="150"/>
      <c r="J154" s="150"/>
      <c r="K154" s="177"/>
      <c r="W154" s="109"/>
      <c r="X154" s="109"/>
      <c r="Y154" s="350"/>
      <c r="Z154" s="350"/>
      <c r="AA154" s="350"/>
      <c r="AB154" s="350"/>
      <c r="AC154" s="350"/>
      <c r="AD154" s="350"/>
    </row>
    <row r="155" spans="1:30" s="159" customFormat="1">
      <c r="B155" s="191" t="s">
        <v>902</v>
      </c>
      <c r="C155" s="176"/>
      <c r="D155" s="148"/>
      <c r="E155" s="162"/>
      <c r="F155" s="162"/>
      <c r="G155" s="162"/>
      <c r="H155" s="148"/>
      <c r="I155" s="162"/>
      <c r="J155" s="162"/>
      <c r="K155" s="164"/>
      <c r="W155" s="109"/>
      <c r="X155" s="109"/>
      <c r="Y155" s="350"/>
      <c r="Z155" s="350"/>
      <c r="AA155" s="350"/>
      <c r="AB155" s="350"/>
      <c r="AC155" s="350"/>
      <c r="AD155" s="350"/>
    </row>
    <row r="156" spans="1:30" s="159" customFormat="1">
      <c r="B156" s="191" t="s">
        <v>903</v>
      </c>
      <c r="C156" s="176"/>
      <c r="D156" s="148"/>
      <c r="E156" s="162"/>
      <c r="F156" s="162"/>
      <c r="G156" s="162"/>
      <c r="H156" s="148"/>
      <c r="I156" s="162"/>
      <c r="J156" s="162"/>
      <c r="K156" s="164"/>
      <c r="W156" s="109"/>
      <c r="X156" s="109"/>
      <c r="Y156" s="350"/>
      <c r="Z156" s="350"/>
      <c r="AA156" s="350"/>
      <c r="AB156" s="350"/>
      <c r="AC156" s="350"/>
      <c r="AD156" s="350"/>
    </row>
    <row r="157" spans="1:30" s="159" customFormat="1">
      <c r="B157" s="191" t="s">
        <v>904</v>
      </c>
      <c r="C157" s="176"/>
      <c r="D157" s="148"/>
      <c r="E157" s="162"/>
      <c r="F157" s="162"/>
      <c r="G157" s="162"/>
      <c r="H157" s="148"/>
      <c r="I157" s="162"/>
      <c r="J157" s="162"/>
      <c r="K157" s="164"/>
      <c r="W157" s="109"/>
      <c r="X157" s="109"/>
      <c r="Y157" s="350"/>
      <c r="Z157" s="350"/>
      <c r="AA157" s="350"/>
      <c r="AB157" s="350"/>
      <c r="AC157" s="350"/>
      <c r="AD157" s="350"/>
    </row>
    <row r="158" spans="1:30" s="159" customFormat="1" ht="14.4" thickBot="1">
      <c r="B158" s="191" t="s">
        <v>905</v>
      </c>
      <c r="C158" s="178"/>
      <c r="D158" s="166"/>
      <c r="E158" s="167"/>
      <c r="F158" s="167"/>
      <c r="G158" s="167"/>
      <c r="H158" s="166"/>
      <c r="I158" s="167"/>
      <c r="J158" s="167"/>
      <c r="K158" s="179"/>
      <c r="W158" s="109"/>
      <c r="X158" s="109"/>
      <c r="Y158" s="350"/>
      <c r="Z158" s="350"/>
      <c r="AA158" s="350"/>
      <c r="AB158" s="350"/>
      <c r="AC158" s="350"/>
      <c r="AD158" s="350"/>
    </row>
    <row r="159" spans="1:30" s="159" customFormat="1">
      <c r="A159" s="159">
        <v>8</v>
      </c>
      <c r="B159" s="169" t="s">
        <v>906</v>
      </c>
      <c r="C159" s="174">
        <v>1</v>
      </c>
      <c r="D159" s="127">
        <v>415482</v>
      </c>
      <c r="E159" s="128">
        <v>311613</v>
      </c>
      <c r="F159" s="128">
        <v>259677</v>
      </c>
      <c r="G159" s="129">
        <v>155805</v>
      </c>
      <c r="H159" s="180">
        <v>439164</v>
      </c>
      <c r="I159" s="128">
        <v>329373</v>
      </c>
      <c r="J159" s="128">
        <v>274479</v>
      </c>
      <c r="K159" s="130">
        <v>164688</v>
      </c>
      <c r="L159" s="155"/>
      <c r="W159" s="109"/>
      <c r="X159" s="109"/>
      <c r="Y159" s="350"/>
      <c r="Z159" s="350"/>
      <c r="AA159" s="350"/>
      <c r="AB159" s="350"/>
      <c r="AC159" s="350"/>
      <c r="AD159" s="350"/>
    </row>
    <row r="160" spans="1:30" s="159" customFormat="1">
      <c r="B160" s="171" t="s">
        <v>907</v>
      </c>
      <c r="C160" s="175">
        <v>2</v>
      </c>
      <c r="D160" s="133">
        <v>421719</v>
      </c>
      <c r="E160" s="134">
        <v>316290</v>
      </c>
      <c r="F160" s="134">
        <v>263574</v>
      </c>
      <c r="G160" s="135">
        <v>158145</v>
      </c>
      <c r="H160" s="161">
        <v>445758</v>
      </c>
      <c r="I160" s="134">
        <v>334320</v>
      </c>
      <c r="J160" s="134">
        <v>278598</v>
      </c>
      <c r="K160" s="136">
        <v>167160</v>
      </c>
      <c r="L160" s="155"/>
      <c r="W160" s="109"/>
      <c r="X160" s="109"/>
      <c r="Y160" s="350"/>
      <c r="Z160" s="350"/>
      <c r="AA160" s="350"/>
      <c r="AB160" s="350"/>
      <c r="AC160" s="350"/>
      <c r="AD160" s="350"/>
    </row>
    <row r="161" spans="2:30" s="159" customFormat="1">
      <c r="B161" s="171" t="s">
        <v>908</v>
      </c>
      <c r="C161" s="175">
        <v>3</v>
      </c>
      <c r="D161" s="133">
        <v>428046</v>
      </c>
      <c r="E161" s="134">
        <v>321036</v>
      </c>
      <c r="F161" s="134">
        <v>267528</v>
      </c>
      <c r="G161" s="135">
        <v>160518</v>
      </c>
      <c r="H161" s="161">
        <v>452445</v>
      </c>
      <c r="I161" s="134">
        <v>339333</v>
      </c>
      <c r="J161" s="134">
        <v>282777</v>
      </c>
      <c r="K161" s="136">
        <v>169668</v>
      </c>
      <c r="L161" s="155"/>
      <c r="W161" s="109"/>
      <c r="X161" s="109"/>
      <c r="Y161" s="350"/>
      <c r="Z161" s="350"/>
      <c r="AA161" s="350"/>
      <c r="AB161" s="350"/>
      <c r="AC161" s="350"/>
      <c r="AD161" s="350"/>
    </row>
    <row r="162" spans="2:30" s="159" customFormat="1">
      <c r="B162" s="171" t="s">
        <v>909</v>
      </c>
      <c r="C162" s="175">
        <v>4</v>
      </c>
      <c r="D162" s="133">
        <v>434463</v>
      </c>
      <c r="E162" s="134">
        <v>325848</v>
      </c>
      <c r="F162" s="134">
        <v>271539</v>
      </c>
      <c r="G162" s="135">
        <v>162924</v>
      </c>
      <c r="H162" s="161">
        <v>459228</v>
      </c>
      <c r="I162" s="134">
        <v>344421</v>
      </c>
      <c r="J162" s="134">
        <v>287019</v>
      </c>
      <c r="K162" s="136">
        <v>172212</v>
      </c>
      <c r="L162" s="155"/>
      <c r="W162" s="109"/>
      <c r="X162" s="109"/>
      <c r="Y162" s="350"/>
      <c r="Z162" s="350"/>
      <c r="AA162" s="350"/>
      <c r="AB162" s="350"/>
      <c r="AC162" s="350"/>
      <c r="AD162" s="350"/>
    </row>
    <row r="163" spans="2:30" s="159" customFormat="1">
      <c r="B163" s="191" t="s">
        <v>910</v>
      </c>
      <c r="C163" s="175">
        <v>5</v>
      </c>
      <c r="D163" s="133">
        <v>440982</v>
      </c>
      <c r="E163" s="134">
        <v>330738</v>
      </c>
      <c r="F163" s="134">
        <v>275613</v>
      </c>
      <c r="G163" s="135">
        <v>165369</v>
      </c>
      <c r="H163" s="161">
        <v>466119</v>
      </c>
      <c r="I163" s="134">
        <v>349590</v>
      </c>
      <c r="J163" s="134">
        <v>291324</v>
      </c>
      <c r="K163" s="136">
        <v>174795</v>
      </c>
      <c r="L163" s="155"/>
      <c r="W163" s="109"/>
      <c r="X163" s="109"/>
      <c r="Y163" s="350"/>
      <c r="Z163" s="350"/>
      <c r="AA163" s="350"/>
      <c r="AB163" s="350"/>
      <c r="AC163" s="350"/>
      <c r="AD163" s="350"/>
    </row>
    <row r="164" spans="2:30" s="159" customFormat="1">
      <c r="B164" s="191" t="s">
        <v>911</v>
      </c>
      <c r="C164" s="175">
        <v>6</v>
      </c>
      <c r="D164" s="133">
        <v>447597</v>
      </c>
      <c r="E164" s="134">
        <v>335697</v>
      </c>
      <c r="F164" s="134">
        <v>279747</v>
      </c>
      <c r="G164" s="135">
        <v>167850</v>
      </c>
      <c r="H164" s="161">
        <v>473109</v>
      </c>
      <c r="I164" s="134">
        <v>354831</v>
      </c>
      <c r="J164" s="134">
        <v>295692</v>
      </c>
      <c r="K164" s="136">
        <v>177417</v>
      </c>
      <c r="L164" s="155"/>
      <c r="W164" s="109"/>
      <c r="X164" s="109"/>
      <c r="Y164" s="350"/>
      <c r="Z164" s="350"/>
      <c r="AA164" s="350"/>
      <c r="AB164" s="350"/>
      <c r="AC164" s="350"/>
      <c r="AD164" s="350"/>
    </row>
    <row r="165" spans="2:30" s="159" customFormat="1">
      <c r="B165" s="191" t="s">
        <v>912</v>
      </c>
      <c r="C165" s="175">
        <v>7</v>
      </c>
      <c r="D165" s="133">
        <v>454317</v>
      </c>
      <c r="E165" s="134">
        <v>340737</v>
      </c>
      <c r="F165" s="134">
        <v>283947</v>
      </c>
      <c r="G165" s="135">
        <v>170370</v>
      </c>
      <c r="H165" s="161">
        <v>480213</v>
      </c>
      <c r="I165" s="134">
        <v>360159</v>
      </c>
      <c r="J165" s="134">
        <v>300132</v>
      </c>
      <c r="K165" s="136">
        <v>180081</v>
      </c>
      <c r="L165" s="155"/>
      <c r="W165" s="109"/>
      <c r="X165" s="109"/>
      <c r="Y165" s="350"/>
      <c r="Z165" s="350"/>
      <c r="AA165" s="350"/>
      <c r="AB165" s="350"/>
      <c r="AC165" s="350"/>
      <c r="AD165" s="350"/>
    </row>
    <row r="166" spans="2:30" s="159" customFormat="1">
      <c r="B166" s="191" t="s">
        <v>913</v>
      </c>
      <c r="C166" s="175">
        <v>8</v>
      </c>
      <c r="D166" s="133">
        <v>461130</v>
      </c>
      <c r="E166" s="134">
        <v>345849</v>
      </c>
      <c r="F166" s="134">
        <v>288207</v>
      </c>
      <c r="G166" s="135">
        <v>172923</v>
      </c>
      <c r="H166" s="161">
        <v>487413</v>
      </c>
      <c r="I166" s="134">
        <v>365559</v>
      </c>
      <c r="J166" s="134">
        <v>304632</v>
      </c>
      <c r="K166" s="136">
        <v>182781</v>
      </c>
      <c r="L166" s="155"/>
      <c r="W166" s="109"/>
      <c r="X166" s="109"/>
      <c r="Y166" s="350"/>
      <c r="Z166" s="350"/>
      <c r="AA166" s="350"/>
      <c r="AB166" s="350"/>
      <c r="AC166" s="350"/>
      <c r="AD166" s="350"/>
    </row>
    <row r="167" spans="2:30" s="159" customFormat="1">
      <c r="B167" s="191" t="s">
        <v>914</v>
      </c>
      <c r="C167" s="175">
        <v>9</v>
      </c>
      <c r="D167" s="133">
        <v>468051</v>
      </c>
      <c r="E167" s="134">
        <v>351039</v>
      </c>
      <c r="F167" s="134">
        <v>292533</v>
      </c>
      <c r="G167" s="135">
        <v>175518</v>
      </c>
      <c r="H167" s="161">
        <v>494730</v>
      </c>
      <c r="I167" s="134">
        <v>371049</v>
      </c>
      <c r="J167" s="134">
        <v>309207</v>
      </c>
      <c r="K167" s="136">
        <v>185523</v>
      </c>
      <c r="L167" s="155"/>
      <c r="W167" s="109"/>
      <c r="X167" s="109"/>
      <c r="Y167" s="350"/>
      <c r="Z167" s="350"/>
      <c r="AA167" s="350"/>
      <c r="AB167" s="350"/>
      <c r="AC167" s="350"/>
      <c r="AD167" s="350"/>
    </row>
    <row r="168" spans="2:30" s="159" customFormat="1">
      <c r="B168" s="191" t="s">
        <v>915</v>
      </c>
      <c r="C168" s="175">
        <v>10</v>
      </c>
      <c r="D168" s="133">
        <v>475068</v>
      </c>
      <c r="E168" s="134">
        <v>356301</v>
      </c>
      <c r="F168" s="134">
        <v>296919</v>
      </c>
      <c r="G168" s="135">
        <v>178152</v>
      </c>
      <c r="H168" s="161">
        <v>502146</v>
      </c>
      <c r="I168" s="134">
        <v>376611</v>
      </c>
      <c r="J168" s="134">
        <v>313842</v>
      </c>
      <c r="K168" s="136">
        <v>188304</v>
      </c>
      <c r="L168" s="155"/>
      <c r="W168" s="109"/>
      <c r="X168" s="109"/>
      <c r="Y168" s="350"/>
      <c r="Z168" s="350"/>
      <c r="AA168" s="350"/>
      <c r="AB168" s="350"/>
      <c r="AC168" s="350"/>
      <c r="AD168" s="350"/>
    </row>
    <row r="169" spans="2:30" s="159" customFormat="1">
      <c r="B169" s="191" t="s">
        <v>916</v>
      </c>
      <c r="C169" s="175">
        <v>11</v>
      </c>
      <c r="D169" s="133">
        <v>482202</v>
      </c>
      <c r="E169" s="134">
        <v>361653</v>
      </c>
      <c r="F169" s="134">
        <v>301377</v>
      </c>
      <c r="G169" s="135">
        <v>180825</v>
      </c>
      <c r="H169" s="161">
        <v>509688</v>
      </c>
      <c r="I169" s="134">
        <v>382266</v>
      </c>
      <c r="J169" s="134">
        <v>318555</v>
      </c>
      <c r="K169" s="136">
        <v>191133</v>
      </c>
      <c r="L169" s="155"/>
      <c r="W169" s="109"/>
      <c r="X169" s="109"/>
      <c r="Y169" s="350"/>
      <c r="Z169" s="350"/>
      <c r="AA169" s="350"/>
      <c r="AB169" s="350"/>
      <c r="AC169" s="350"/>
      <c r="AD169" s="350"/>
    </row>
    <row r="170" spans="2:30" s="159" customFormat="1">
      <c r="B170" s="191" t="s">
        <v>917</v>
      </c>
      <c r="C170" s="175">
        <v>12</v>
      </c>
      <c r="D170" s="133">
        <v>489429</v>
      </c>
      <c r="E170" s="134">
        <v>367071</v>
      </c>
      <c r="F170" s="134">
        <v>305892</v>
      </c>
      <c r="G170" s="135">
        <v>183537</v>
      </c>
      <c r="H170" s="161">
        <v>517326</v>
      </c>
      <c r="I170" s="134">
        <v>387996</v>
      </c>
      <c r="J170" s="134">
        <v>323328</v>
      </c>
      <c r="K170" s="136">
        <v>193998</v>
      </c>
      <c r="L170" s="155"/>
      <c r="W170" s="109"/>
      <c r="X170" s="109"/>
      <c r="Y170" s="350"/>
      <c r="Z170" s="350"/>
      <c r="AA170" s="350"/>
      <c r="AB170" s="350"/>
      <c r="AC170" s="350"/>
      <c r="AD170" s="350"/>
    </row>
    <row r="171" spans="2:30" s="159" customFormat="1">
      <c r="B171" s="191" t="s">
        <v>918</v>
      </c>
      <c r="C171" s="175">
        <v>13</v>
      </c>
      <c r="D171" s="133">
        <v>496776</v>
      </c>
      <c r="E171" s="134">
        <v>372582</v>
      </c>
      <c r="F171" s="134">
        <v>310485</v>
      </c>
      <c r="G171" s="135">
        <v>186291</v>
      </c>
      <c r="H171" s="161">
        <v>525093</v>
      </c>
      <c r="I171" s="134">
        <v>393819</v>
      </c>
      <c r="J171" s="134">
        <v>328182</v>
      </c>
      <c r="K171" s="136">
        <v>196911</v>
      </c>
      <c r="L171" s="155"/>
      <c r="W171" s="109"/>
      <c r="X171" s="109"/>
      <c r="Y171" s="350"/>
      <c r="Z171" s="350"/>
      <c r="AA171" s="350"/>
      <c r="AB171" s="350"/>
      <c r="AC171" s="350"/>
      <c r="AD171" s="350"/>
    </row>
    <row r="172" spans="2:30" s="159" customFormat="1">
      <c r="B172" s="191" t="s">
        <v>919</v>
      </c>
      <c r="C172" s="175">
        <v>14</v>
      </c>
      <c r="D172" s="133">
        <v>504219</v>
      </c>
      <c r="E172" s="134">
        <v>378165</v>
      </c>
      <c r="F172" s="134">
        <v>315138</v>
      </c>
      <c r="G172" s="135">
        <v>189081</v>
      </c>
      <c r="H172" s="161">
        <v>532959</v>
      </c>
      <c r="I172" s="134">
        <v>399720</v>
      </c>
      <c r="J172" s="134">
        <v>333099</v>
      </c>
      <c r="K172" s="136">
        <v>199860</v>
      </c>
      <c r="L172" s="155"/>
      <c r="W172" s="109"/>
      <c r="X172" s="109"/>
      <c r="Y172" s="350"/>
      <c r="Z172" s="350"/>
      <c r="AA172" s="350"/>
      <c r="AB172" s="350"/>
      <c r="AC172" s="350"/>
      <c r="AD172" s="350"/>
    </row>
    <row r="173" spans="2:30" s="159" customFormat="1">
      <c r="B173" s="191" t="s">
        <v>920</v>
      </c>
      <c r="C173" s="176"/>
      <c r="D173" s="149"/>
      <c r="E173" s="150"/>
      <c r="F173" s="150"/>
      <c r="G173" s="150"/>
      <c r="H173" s="149"/>
      <c r="I173" s="150"/>
      <c r="J173" s="150"/>
      <c r="K173" s="177"/>
      <c r="W173" s="109"/>
      <c r="X173" s="109"/>
      <c r="Y173" s="350"/>
      <c r="Z173" s="350"/>
      <c r="AA173" s="350"/>
      <c r="AB173" s="350"/>
      <c r="AC173" s="350"/>
      <c r="AD173" s="350"/>
    </row>
    <row r="174" spans="2:30" s="159" customFormat="1">
      <c r="B174" s="191" t="s">
        <v>921</v>
      </c>
      <c r="C174" s="176"/>
      <c r="D174" s="149"/>
      <c r="E174" s="150"/>
      <c r="F174" s="150"/>
      <c r="G174" s="150"/>
      <c r="H174" s="149"/>
      <c r="I174" s="150"/>
      <c r="J174" s="150"/>
      <c r="K174" s="177"/>
      <c r="W174" s="109"/>
      <c r="X174" s="109"/>
      <c r="Y174" s="350"/>
      <c r="Z174" s="350"/>
      <c r="AA174" s="350"/>
      <c r="AB174" s="350"/>
      <c r="AC174" s="350"/>
      <c r="AD174" s="350"/>
    </row>
    <row r="175" spans="2:30" s="159" customFormat="1">
      <c r="B175" s="191" t="s">
        <v>922</v>
      </c>
      <c r="C175" s="176"/>
      <c r="D175" s="149"/>
      <c r="E175" s="150"/>
      <c r="F175" s="150"/>
      <c r="G175" s="150"/>
      <c r="H175" s="149"/>
      <c r="I175" s="150"/>
      <c r="J175" s="150"/>
      <c r="K175" s="177"/>
      <c r="W175" s="109"/>
      <c r="X175" s="109"/>
      <c r="Y175" s="350"/>
      <c r="Z175" s="350"/>
      <c r="AA175" s="350"/>
      <c r="AB175" s="350"/>
      <c r="AC175" s="350"/>
      <c r="AD175" s="350"/>
    </row>
    <row r="176" spans="2:30" s="159" customFormat="1">
      <c r="B176" s="191" t="s">
        <v>923</v>
      </c>
      <c r="C176" s="176"/>
      <c r="D176" s="149"/>
      <c r="E176" s="150"/>
      <c r="F176" s="150"/>
      <c r="G176" s="150"/>
      <c r="H176" s="149"/>
      <c r="I176" s="150"/>
      <c r="J176" s="150"/>
      <c r="K176" s="177"/>
      <c r="W176" s="109"/>
      <c r="X176" s="109"/>
      <c r="Y176" s="350"/>
      <c r="Z176" s="350"/>
      <c r="AA176" s="350"/>
      <c r="AB176" s="350"/>
      <c r="AC176" s="350"/>
      <c r="AD176" s="350"/>
    </row>
    <row r="177" spans="1:30" s="159" customFormat="1">
      <c r="B177" s="191" t="s">
        <v>924</v>
      </c>
      <c r="C177" s="176"/>
      <c r="D177" s="149"/>
      <c r="E177" s="150"/>
      <c r="F177" s="150"/>
      <c r="G177" s="150"/>
      <c r="H177" s="149"/>
      <c r="I177" s="150"/>
      <c r="J177" s="150"/>
      <c r="K177" s="177"/>
      <c r="W177" s="109"/>
      <c r="X177" s="109"/>
      <c r="Y177" s="350"/>
      <c r="Z177" s="350"/>
      <c r="AA177" s="350"/>
      <c r="AB177" s="350"/>
      <c r="AC177" s="350"/>
      <c r="AD177" s="350"/>
    </row>
    <row r="178" spans="1:30" s="159" customFormat="1">
      <c r="B178" s="191" t="s">
        <v>925</v>
      </c>
      <c r="C178" s="176"/>
      <c r="D178" s="149"/>
      <c r="E178" s="150"/>
      <c r="F178" s="150"/>
      <c r="G178" s="150"/>
      <c r="H178" s="149"/>
      <c r="I178" s="150"/>
      <c r="J178" s="150"/>
      <c r="K178" s="177"/>
      <c r="W178" s="109"/>
      <c r="X178" s="109"/>
      <c r="Y178" s="350"/>
      <c r="Z178" s="350"/>
      <c r="AA178" s="350"/>
      <c r="AB178" s="350"/>
      <c r="AC178" s="350"/>
      <c r="AD178" s="350"/>
    </row>
    <row r="179" spans="1:30" s="159" customFormat="1">
      <c r="B179" s="191" t="s">
        <v>926</v>
      </c>
      <c r="C179" s="176"/>
      <c r="D179" s="148"/>
      <c r="E179" s="162"/>
      <c r="F179" s="162"/>
      <c r="G179" s="162"/>
      <c r="H179" s="148"/>
      <c r="I179" s="162"/>
      <c r="J179" s="162"/>
      <c r="K179" s="164"/>
      <c r="W179" s="109"/>
      <c r="X179" s="109"/>
      <c r="Y179" s="350"/>
      <c r="Z179" s="350"/>
      <c r="AA179" s="350"/>
      <c r="AB179" s="350"/>
      <c r="AC179" s="350"/>
      <c r="AD179" s="350"/>
    </row>
    <row r="180" spans="1:30" s="159" customFormat="1">
      <c r="B180" s="191" t="s">
        <v>927</v>
      </c>
      <c r="C180" s="176"/>
      <c r="D180" s="149"/>
      <c r="E180" s="150"/>
      <c r="F180" s="150"/>
      <c r="G180" s="150"/>
      <c r="H180" s="149"/>
      <c r="I180" s="150"/>
      <c r="J180" s="150"/>
      <c r="K180" s="177"/>
      <c r="W180" s="109"/>
      <c r="X180" s="109"/>
      <c r="Y180" s="350"/>
      <c r="Z180" s="350"/>
      <c r="AA180" s="350"/>
      <c r="AB180" s="350"/>
      <c r="AC180" s="350"/>
      <c r="AD180" s="350"/>
    </row>
    <row r="181" spans="1:30" s="159" customFormat="1">
      <c r="B181" s="191" t="s">
        <v>928</v>
      </c>
      <c r="C181" s="176"/>
      <c r="D181" s="149"/>
      <c r="E181" s="150"/>
      <c r="F181" s="150"/>
      <c r="G181" s="150"/>
      <c r="H181" s="149"/>
      <c r="I181" s="150"/>
      <c r="J181" s="150"/>
      <c r="K181" s="177"/>
      <c r="W181" s="109"/>
      <c r="X181" s="109"/>
      <c r="Y181" s="350"/>
      <c r="Z181" s="350"/>
      <c r="AA181" s="350"/>
      <c r="AB181" s="350"/>
      <c r="AC181" s="350"/>
      <c r="AD181" s="350"/>
    </row>
    <row r="182" spans="1:30" s="159" customFormat="1" ht="14.4" thickBot="1">
      <c r="B182" s="173" t="s">
        <v>929</v>
      </c>
      <c r="C182" s="178"/>
      <c r="D182" s="181"/>
      <c r="E182" s="182"/>
      <c r="F182" s="182"/>
      <c r="G182" s="182"/>
      <c r="H182" s="181"/>
      <c r="I182" s="182"/>
      <c r="J182" s="182"/>
      <c r="K182" s="183"/>
      <c r="W182" s="109"/>
      <c r="X182" s="109"/>
      <c r="Y182" s="350"/>
      <c r="Z182" s="350"/>
      <c r="AA182" s="350"/>
      <c r="AB182" s="350"/>
      <c r="AC182" s="350"/>
      <c r="AD182" s="350"/>
    </row>
    <row r="183" spans="1:30" s="159" customFormat="1">
      <c r="A183" s="159">
        <v>9</v>
      </c>
      <c r="B183" s="189" t="s">
        <v>930</v>
      </c>
      <c r="C183" s="174">
        <v>1</v>
      </c>
      <c r="D183" s="127">
        <v>374364</v>
      </c>
      <c r="E183" s="128">
        <v>280773</v>
      </c>
      <c r="F183" s="128">
        <v>233979</v>
      </c>
      <c r="G183" s="129">
        <v>140388</v>
      </c>
      <c r="H183" s="127">
        <v>395703</v>
      </c>
      <c r="I183" s="128">
        <v>296778</v>
      </c>
      <c r="J183" s="128">
        <v>247314</v>
      </c>
      <c r="K183" s="130">
        <v>148389</v>
      </c>
      <c r="L183" s="155"/>
      <c r="W183" s="109"/>
      <c r="X183" s="109"/>
      <c r="Y183" s="350"/>
      <c r="Z183" s="350"/>
      <c r="AA183" s="350"/>
      <c r="AB183" s="350"/>
      <c r="AC183" s="350"/>
      <c r="AD183" s="350"/>
    </row>
    <row r="184" spans="1:30" s="159" customFormat="1">
      <c r="B184" s="191" t="s">
        <v>931</v>
      </c>
      <c r="C184" s="175">
        <v>2</v>
      </c>
      <c r="D184" s="133">
        <v>379980</v>
      </c>
      <c r="E184" s="134">
        <v>284985</v>
      </c>
      <c r="F184" s="134">
        <v>237489</v>
      </c>
      <c r="G184" s="135">
        <v>142494</v>
      </c>
      <c r="H184" s="133">
        <v>401640</v>
      </c>
      <c r="I184" s="134">
        <v>301230</v>
      </c>
      <c r="J184" s="134">
        <v>251025</v>
      </c>
      <c r="K184" s="136">
        <v>150615</v>
      </c>
      <c r="L184" s="155"/>
      <c r="W184" s="109"/>
      <c r="X184" s="109"/>
      <c r="Y184" s="350"/>
      <c r="Z184" s="350"/>
      <c r="AA184" s="350"/>
      <c r="AB184" s="350"/>
      <c r="AC184" s="350"/>
      <c r="AD184" s="350"/>
    </row>
    <row r="185" spans="1:30" s="159" customFormat="1">
      <c r="B185" s="191" t="s">
        <v>932</v>
      </c>
      <c r="C185" s="175">
        <v>3</v>
      </c>
      <c r="D185" s="133">
        <v>385683</v>
      </c>
      <c r="E185" s="134">
        <v>289263</v>
      </c>
      <c r="F185" s="134">
        <v>241053</v>
      </c>
      <c r="G185" s="135">
        <v>144630</v>
      </c>
      <c r="H185" s="133">
        <v>407667</v>
      </c>
      <c r="I185" s="134">
        <v>305751</v>
      </c>
      <c r="J185" s="134">
        <v>254793</v>
      </c>
      <c r="K185" s="136">
        <v>152874</v>
      </c>
      <c r="L185" s="155"/>
      <c r="W185" s="109"/>
      <c r="X185" s="109"/>
      <c r="Y185" s="350"/>
      <c r="Z185" s="350"/>
      <c r="AA185" s="350"/>
      <c r="AB185" s="350"/>
      <c r="AC185" s="350"/>
      <c r="AD185" s="350"/>
    </row>
    <row r="186" spans="1:30" s="159" customFormat="1">
      <c r="B186" s="191" t="s">
        <v>933</v>
      </c>
      <c r="C186" s="175">
        <v>4</v>
      </c>
      <c r="D186" s="133">
        <v>391467</v>
      </c>
      <c r="E186" s="134">
        <v>293601</v>
      </c>
      <c r="F186" s="134">
        <v>244668</v>
      </c>
      <c r="G186" s="135">
        <v>146799</v>
      </c>
      <c r="H186" s="133">
        <v>413781</v>
      </c>
      <c r="I186" s="134">
        <v>310335</v>
      </c>
      <c r="J186" s="134">
        <v>258612</v>
      </c>
      <c r="K186" s="136">
        <v>155169</v>
      </c>
      <c r="L186" s="155"/>
      <c r="W186" s="109"/>
      <c r="X186" s="109"/>
      <c r="Y186" s="350"/>
      <c r="Z186" s="350"/>
      <c r="AA186" s="350"/>
      <c r="AB186" s="350"/>
      <c r="AC186" s="350"/>
      <c r="AD186" s="350"/>
    </row>
    <row r="187" spans="1:30" s="159" customFormat="1">
      <c r="B187" s="184"/>
      <c r="C187" s="175">
        <v>5</v>
      </c>
      <c r="D187" s="133">
        <v>397332</v>
      </c>
      <c r="E187" s="134">
        <v>297999</v>
      </c>
      <c r="F187" s="134">
        <v>248334</v>
      </c>
      <c r="G187" s="135">
        <v>149001</v>
      </c>
      <c r="H187" s="133">
        <v>419979</v>
      </c>
      <c r="I187" s="134">
        <v>314985</v>
      </c>
      <c r="J187" s="134">
        <v>262488</v>
      </c>
      <c r="K187" s="136">
        <v>157491</v>
      </c>
      <c r="L187" s="155"/>
      <c r="W187" s="109"/>
      <c r="X187" s="109"/>
      <c r="Y187" s="350"/>
      <c r="Z187" s="350"/>
      <c r="AA187" s="350"/>
      <c r="AB187" s="350"/>
      <c r="AC187" s="350"/>
      <c r="AD187" s="350"/>
    </row>
    <row r="188" spans="1:30" s="159" customFormat="1">
      <c r="B188" s="184"/>
      <c r="C188" s="175">
        <v>6</v>
      </c>
      <c r="D188" s="133">
        <v>403302</v>
      </c>
      <c r="E188" s="134">
        <v>302478</v>
      </c>
      <c r="F188" s="134">
        <v>252063</v>
      </c>
      <c r="G188" s="135">
        <v>151239</v>
      </c>
      <c r="H188" s="133">
        <v>426291</v>
      </c>
      <c r="I188" s="134">
        <v>319719</v>
      </c>
      <c r="J188" s="134">
        <v>266433</v>
      </c>
      <c r="K188" s="136">
        <v>159858</v>
      </c>
      <c r="L188" s="155"/>
      <c r="W188" s="109"/>
      <c r="X188" s="109"/>
      <c r="Y188" s="350"/>
      <c r="Z188" s="350"/>
      <c r="AA188" s="350"/>
      <c r="AB188" s="350"/>
      <c r="AC188" s="350"/>
      <c r="AD188" s="350"/>
    </row>
    <row r="189" spans="1:30" s="159" customFormat="1">
      <c r="B189" s="184"/>
      <c r="C189" s="175">
        <v>7</v>
      </c>
      <c r="D189" s="133">
        <v>409344</v>
      </c>
      <c r="E189" s="134">
        <v>307008</v>
      </c>
      <c r="F189" s="134">
        <v>255840</v>
      </c>
      <c r="G189" s="135">
        <v>153504</v>
      </c>
      <c r="H189" s="133">
        <v>432678</v>
      </c>
      <c r="I189" s="134">
        <v>324510</v>
      </c>
      <c r="J189" s="134">
        <v>270423</v>
      </c>
      <c r="K189" s="136">
        <v>162255</v>
      </c>
      <c r="L189" s="155"/>
      <c r="W189" s="109"/>
      <c r="X189" s="109"/>
      <c r="Y189" s="350"/>
      <c r="Z189" s="350"/>
      <c r="AA189" s="350"/>
      <c r="AB189" s="350"/>
      <c r="AC189" s="350"/>
      <c r="AD189" s="350"/>
    </row>
    <row r="190" spans="1:30" s="159" customFormat="1">
      <c r="B190" s="184"/>
      <c r="C190" s="175">
        <v>8</v>
      </c>
      <c r="D190" s="133">
        <v>415482</v>
      </c>
      <c r="E190" s="134">
        <v>311613</v>
      </c>
      <c r="F190" s="134">
        <v>259677</v>
      </c>
      <c r="G190" s="135">
        <v>155805</v>
      </c>
      <c r="H190" s="133">
        <v>439164</v>
      </c>
      <c r="I190" s="134">
        <v>329373</v>
      </c>
      <c r="J190" s="134">
        <v>274479</v>
      </c>
      <c r="K190" s="136">
        <v>164688</v>
      </c>
      <c r="L190" s="155"/>
      <c r="W190" s="109"/>
      <c r="X190" s="109"/>
      <c r="Y190" s="350"/>
      <c r="Z190" s="350"/>
      <c r="AA190" s="350"/>
      <c r="AB190" s="350"/>
      <c r="AC190" s="350"/>
      <c r="AD190" s="350"/>
    </row>
    <row r="191" spans="1:30" s="159" customFormat="1">
      <c r="B191" s="184"/>
      <c r="C191" s="175">
        <v>9</v>
      </c>
      <c r="D191" s="133">
        <v>421719</v>
      </c>
      <c r="E191" s="134">
        <v>316290</v>
      </c>
      <c r="F191" s="134">
        <v>263574</v>
      </c>
      <c r="G191" s="135">
        <v>158145</v>
      </c>
      <c r="H191" s="133">
        <v>445758</v>
      </c>
      <c r="I191" s="134">
        <v>334320</v>
      </c>
      <c r="J191" s="134">
        <v>278598</v>
      </c>
      <c r="K191" s="136">
        <v>167160</v>
      </c>
      <c r="L191" s="155"/>
      <c r="W191" s="109"/>
      <c r="X191" s="109"/>
      <c r="Y191" s="350"/>
      <c r="Z191" s="350"/>
      <c r="AA191" s="350"/>
      <c r="AB191" s="350"/>
      <c r="AC191" s="350"/>
      <c r="AD191" s="350"/>
    </row>
    <row r="192" spans="1:30" s="159" customFormat="1" ht="14.4" thickBot="1">
      <c r="B192" s="184"/>
      <c r="C192" s="185">
        <v>10</v>
      </c>
      <c r="D192" s="139">
        <v>428046</v>
      </c>
      <c r="E192" s="140">
        <v>321036</v>
      </c>
      <c r="F192" s="140">
        <v>267528</v>
      </c>
      <c r="G192" s="146">
        <v>160518</v>
      </c>
      <c r="H192" s="139">
        <v>452445</v>
      </c>
      <c r="I192" s="140">
        <v>339333</v>
      </c>
      <c r="J192" s="140">
        <v>282777</v>
      </c>
      <c r="K192" s="141">
        <v>169668</v>
      </c>
      <c r="L192" s="155"/>
      <c r="W192" s="109"/>
      <c r="X192" s="109"/>
      <c r="Y192" s="350"/>
      <c r="Z192" s="350"/>
      <c r="AA192" s="350"/>
      <c r="AB192" s="350"/>
      <c r="AC192" s="350"/>
      <c r="AD192" s="350"/>
    </row>
    <row r="193" spans="1:30" s="159" customFormat="1">
      <c r="A193" s="159">
        <v>10</v>
      </c>
      <c r="B193" s="189" t="s">
        <v>934</v>
      </c>
      <c r="C193" s="174">
        <v>1</v>
      </c>
      <c r="D193" s="127">
        <v>440982</v>
      </c>
      <c r="E193" s="128">
        <v>330738</v>
      </c>
      <c r="F193" s="128">
        <v>275613</v>
      </c>
      <c r="G193" s="129">
        <v>165369</v>
      </c>
      <c r="H193" s="127">
        <v>466119</v>
      </c>
      <c r="I193" s="128">
        <v>349590</v>
      </c>
      <c r="J193" s="128">
        <v>291324</v>
      </c>
      <c r="K193" s="130">
        <v>174795</v>
      </c>
      <c r="L193" s="155"/>
      <c r="W193" s="109"/>
      <c r="X193" s="109"/>
      <c r="Y193" s="350"/>
      <c r="Z193" s="350"/>
      <c r="AA193" s="350"/>
      <c r="AB193" s="350"/>
      <c r="AC193" s="350"/>
      <c r="AD193" s="350"/>
    </row>
    <row r="194" spans="1:30" s="159" customFormat="1">
      <c r="B194" s="191" t="s">
        <v>935</v>
      </c>
      <c r="C194" s="175">
        <v>2</v>
      </c>
      <c r="D194" s="133">
        <v>447597</v>
      </c>
      <c r="E194" s="134">
        <v>335697</v>
      </c>
      <c r="F194" s="134">
        <v>279747</v>
      </c>
      <c r="G194" s="135">
        <v>167850</v>
      </c>
      <c r="H194" s="133">
        <v>473109</v>
      </c>
      <c r="I194" s="134">
        <v>354831</v>
      </c>
      <c r="J194" s="134">
        <v>295692</v>
      </c>
      <c r="K194" s="136">
        <v>177417</v>
      </c>
      <c r="L194" s="155"/>
      <c r="W194" s="109"/>
      <c r="X194" s="109"/>
      <c r="Y194" s="350"/>
      <c r="Z194" s="350"/>
      <c r="AA194" s="350"/>
      <c r="AB194" s="350"/>
      <c r="AC194" s="350"/>
      <c r="AD194" s="350"/>
    </row>
    <row r="195" spans="1:30" s="159" customFormat="1">
      <c r="B195" s="191" t="s">
        <v>936</v>
      </c>
      <c r="C195" s="175">
        <v>3</v>
      </c>
      <c r="D195" s="133">
        <v>454317</v>
      </c>
      <c r="E195" s="134">
        <v>340737</v>
      </c>
      <c r="F195" s="134">
        <v>283947</v>
      </c>
      <c r="G195" s="135">
        <v>170370</v>
      </c>
      <c r="H195" s="133">
        <v>480213</v>
      </c>
      <c r="I195" s="134">
        <v>360159</v>
      </c>
      <c r="J195" s="134">
        <v>300132</v>
      </c>
      <c r="K195" s="136">
        <v>180081</v>
      </c>
      <c r="L195" s="155"/>
      <c r="W195" s="109"/>
      <c r="X195" s="109"/>
      <c r="Y195" s="350"/>
      <c r="Z195" s="350"/>
      <c r="AA195" s="350"/>
      <c r="AB195" s="350"/>
      <c r="AC195" s="350"/>
      <c r="AD195" s="350"/>
    </row>
    <row r="196" spans="1:30" s="159" customFormat="1">
      <c r="B196" s="191" t="s">
        <v>937</v>
      </c>
      <c r="C196" s="175">
        <v>4</v>
      </c>
      <c r="D196" s="133">
        <v>461130</v>
      </c>
      <c r="E196" s="134">
        <v>345849</v>
      </c>
      <c r="F196" s="134">
        <v>288207</v>
      </c>
      <c r="G196" s="135">
        <v>172923</v>
      </c>
      <c r="H196" s="133">
        <v>487413</v>
      </c>
      <c r="I196" s="134">
        <v>365559</v>
      </c>
      <c r="J196" s="134">
        <v>304632</v>
      </c>
      <c r="K196" s="136">
        <v>182781</v>
      </c>
      <c r="L196" s="155"/>
      <c r="W196" s="109"/>
      <c r="X196" s="109"/>
      <c r="Y196" s="350"/>
      <c r="Z196" s="350"/>
      <c r="AA196" s="350"/>
      <c r="AB196" s="350"/>
      <c r="AC196" s="350"/>
      <c r="AD196" s="350"/>
    </row>
    <row r="197" spans="1:30" s="159" customFormat="1">
      <c r="B197" s="184"/>
      <c r="C197" s="175">
        <v>5</v>
      </c>
      <c r="D197" s="133">
        <v>468051</v>
      </c>
      <c r="E197" s="134">
        <v>351039</v>
      </c>
      <c r="F197" s="134">
        <v>292533</v>
      </c>
      <c r="G197" s="135">
        <v>175518</v>
      </c>
      <c r="H197" s="133">
        <v>494730</v>
      </c>
      <c r="I197" s="134">
        <v>371049</v>
      </c>
      <c r="J197" s="134">
        <v>309207</v>
      </c>
      <c r="K197" s="136">
        <v>185523</v>
      </c>
      <c r="L197" s="155"/>
      <c r="W197" s="109"/>
      <c r="X197" s="109"/>
      <c r="Y197" s="350"/>
      <c r="Z197" s="350"/>
      <c r="AA197" s="350"/>
      <c r="AB197" s="350"/>
      <c r="AC197" s="350"/>
      <c r="AD197" s="350"/>
    </row>
    <row r="198" spans="1:30" s="159" customFormat="1">
      <c r="B198" s="184"/>
      <c r="C198" s="175">
        <v>6</v>
      </c>
      <c r="D198" s="133">
        <v>475068</v>
      </c>
      <c r="E198" s="134">
        <v>356301</v>
      </c>
      <c r="F198" s="134">
        <v>296919</v>
      </c>
      <c r="G198" s="135">
        <v>178152</v>
      </c>
      <c r="H198" s="133">
        <v>502146</v>
      </c>
      <c r="I198" s="134">
        <v>376611</v>
      </c>
      <c r="J198" s="134">
        <v>313842</v>
      </c>
      <c r="K198" s="136">
        <v>188304</v>
      </c>
      <c r="L198" s="155"/>
      <c r="W198" s="109"/>
      <c r="X198" s="109"/>
      <c r="Y198" s="350"/>
      <c r="Z198" s="350"/>
      <c r="AA198" s="350"/>
      <c r="AB198" s="350"/>
      <c r="AC198" s="350"/>
      <c r="AD198" s="350"/>
    </row>
    <row r="199" spans="1:30" s="159" customFormat="1">
      <c r="B199" s="184"/>
      <c r="C199" s="175">
        <v>7</v>
      </c>
      <c r="D199" s="133">
        <v>482202</v>
      </c>
      <c r="E199" s="134">
        <v>361653</v>
      </c>
      <c r="F199" s="134">
        <v>301377</v>
      </c>
      <c r="G199" s="135">
        <v>180825</v>
      </c>
      <c r="H199" s="133">
        <v>509688</v>
      </c>
      <c r="I199" s="134">
        <v>382266</v>
      </c>
      <c r="J199" s="134">
        <v>318555</v>
      </c>
      <c r="K199" s="136">
        <v>191133</v>
      </c>
      <c r="L199" s="155"/>
      <c r="W199" s="109"/>
      <c r="X199" s="109"/>
      <c r="Y199" s="350"/>
      <c r="Z199" s="350"/>
      <c r="AA199" s="350"/>
      <c r="AB199" s="350"/>
      <c r="AC199" s="350"/>
      <c r="AD199" s="350"/>
    </row>
    <row r="200" spans="1:30" s="159" customFormat="1">
      <c r="B200" s="184"/>
      <c r="C200" s="175">
        <v>8</v>
      </c>
      <c r="D200" s="133">
        <v>489429</v>
      </c>
      <c r="E200" s="134">
        <v>367071</v>
      </c>
      <c r="F200" s="134">
        <v>305892</v>
      </c>
      <c r="G200" s="135">
        <v>183537</v>
      </c>
      <c r="H200" s="133">
        <v>517326</v>
      </c>
      <c r="I200" s="134">
        <v>387996</v>
      </c>
      <c r="J200" s="134">
        <v>323328</v>
      </c>
      <c r="K200" s="136">
        <v>193998</v>
      </c>
      <c r="L200" s="155"/>
      <c r="W200" s="109"/>
      <c r="X200" s="109"/>
      <c r="Y200" s="350"/>
      <c r="Z200" s="350"/>
      <c r="AA200" s="350"/>
      <c r="AB200" s="350"/>
      <c r="AC200" s="350"/>
      <c r="AD200" s="350"/>
    </row>
    <row r="201" spans="1:30" s="159" customFormat="1">
      <c r="B201" s="184"/>
      <c r="C201" s="175">
        <v>9</v>
      </c>
      <c r="D201" s="133">
        <v>496776</v>
      </c>
      <c r="E201" s="134">
        <v>372582</v>
      </c>
      <c r="F201" s="134">
        <v>310485</v>
      </c>
      <c r="G201" s="135">
        <v>186291</v>
      </c>
      <c r="H201" s="133">
        <v>525093</v>
      </c>
      <c r="I201" s="134">
        <v>393819</v>
      </c>
      <c r="J201" s="134">
        <v>328182</v>
      </c>
      <c r="K201" s="136">
        <v>196911</v>
      </c>
      <c r="L201" s="155"/>
      <c r="W201" s="109"/>
      <c r="X201" s="109"/>
      <c r="Y201" s="350"/>
      <c r="Z201" s="350"/>
      <c r="AA201" s="350"/>
      <c r="AB201" s="350"/>
      <c r="AC201" s="350"/>
      <c r="AD201" s="350"/>
    </row>
    <row r="202" spans="1:30" s="159" customFormat="1" ht="14.4" thickBot="1">
      <c r="B202" s="184"/>
      <c r="C202" s="185">
        <v>10</v>
      </c>
      <c r="D202" s="139">
        <v>504219</v>
      </c>
      <c r="E202" s="140">
        <v>378165</v>
      </c>
      <c r="F202" s="140">
        <v>315138</v>
      </c>
      <c r="G202" s="146">
        <v>189081</v>
      </c>
      <c r="H202" s="139">
        <v>532959</v>
      </c>
      <c r="I202" s="140">
        <v>399720</v>
      </c>
      <c r="J202" s="140">
        <v>333099</v>
      </c>
      <c r="K202" s="141">
        <v>199860</v>
      </c>
      <c r="L202" s="155"/>
      <c r="W202" s="109"/>
      <c r="X202" s="109"/>
      <c r="Y202" s="350"/>
      <c r="Z202" s="350"/>
      <c r="AA202" s="350"/>
      <c r="AB202" s="350"/>
      <c r="AC202" s="350"/>
      <c r="AD202" s="350"/>
    </row>
    <row r="203" spans="1:30" s="159" customFormat="1">
      <c r="A203" s="159">
        <v>11</v>
      </c>
      <c r="B203" s="189" t="s">
        <v>938</v>
      </c>
      <c r="C203" s="174">
        <v>1</v>
      </c>
      <c r="D203" s="127">
        <v>519456</v>
      </c>
      <c r="E203" s="128">
        <v>389592</v>
      </c>
      <c r="F203" s="128">
        <v>324660</v>
      </c>
      <c r="G203" s="129">
        <v>194796</v>
      </c>
      <c r="H203" s="127">
        <v>549066</v>
      </c>
      <c r="I203" s="128">
        <v>411801</v>
      </c>
      <c r="J203" s="128">
        <v>343167</v>
      </c>
      <c r="K203" s="130">
        <v>205899</v>
      </c>
      <c r="L203" s="155"/>
      <c r="W203" s="109"/>
      <c r="X203" s="109"/>
      <c r="Y203" s="350"/>
      <c r="Z203" s="350"/>
      <c r="AA203" s="350"/>
      <c r="AB203" s="350"/>
      <c r="AC203" s="350"/>
      <c r="AD203" s="350"/>
    </row>
    <row r="204" spans="1:30" s="159" customFormat="1">
      <c r="B204" s="191" t="s">
        <v>939</v>
      </c>
      <c r="C204" s="175">
        <v>2</v>
      </c>
      <c r="D204" s="133">
        <v>527253</v>
      </c>
      <c r="E204" s="134">
        <v>395439</v>
      </c>
      <c r="F204" s="134">
        <v>329532</v>
      </c>
      <c r="G204" s="135">
        <v>197721</v>
      </c>
      <c r="H204" s="133">
        <v>557307</v>
      </c>
      <c r="I204" s="134">
        <v>417981</v>
      </c>
      <c r="J204" s="134">
        <v>348318</v>
      </c>
      <c r="K204" s="136">
        <v>208989</v>
      </c>
      <c r="L204" s="155"/>
      <c r="W204" s="109"/>
      <c r="X204" s="109"/>
      <c r="Y204" s="350"/>
      <c r="Z204" s="350"/>
      <c r="AA204" s="350"/>
      <c r="AB204" s="350"/>
      <c r="AC204" s="350"/>
      <c r="AD204" s="350"/>
    </row>
    <row r="205" spans="1:30" s="159" customFormat="1">
      <c r="B205" s="191" t="s">
        <v>940</v>
      </c>
      <c r="C205" s="175">
        <v>3</v>
      </c>
      <c r="D205" s="133">
        <v>535164</v>
      </c>
      <c r="E205" s="134">
        <v>401373</v>
      </c>
      <c r="F205" s="134">
        <v>334479</v>
      </c>
      <c r="G205" s="135">
        <v>200688</v>
      </c>
      <c r="H205" s="133">
        <v>565668</v>
      </c>
      <c r="I205" s="134">
        <v>424251</v>
      </c>
      <c r="J205" s="134">
        <v>353544</v>
      </c>
      <c r="K205" s="136">
        <v>212127</v>
      </c>
      <c r="L205" s="155"/>
      <c r="W205" s="109"/>
      <c r="X205" s="109"/>
      <c r="Y205" s="231" t="s">
        <v>1131</v>
      </c>
      <c r="Z205" s="350"/>
      <c r="AA205" s="350"/>
      <c r="AB205" s="350"/>
      <c r="AC205" s="350"/>
      <c r="AD205" s="350"/>
    </row>
    <row r="206" spans="1:30" s="159" customFormat="1" ht="14.4" thickBot="1">
      <c r="B206" s="191" t="s">
        <v>941</v>
      </c>
      <c r="C206" s="175">
        <v>4</v>
      </c>
      <c r="D206" s="133">
        <v>543195</v>
      </c>
      <c r="E206" s="134">
        <v>407397</v>
      </c>
      <c r="F206" s="134">
        <v>339498</v>
      </c>
      <c r="G206" s="135">
        <v>203697</v>
      </c>
      <c r="H206" s="133">
        <v>574158</v>
      </c>
      <c r="I206" s="134">
        <v>430620</v>
      </c>
      <c r="J206" s="134">
        <v>358848</v>
      </c>
      <c r="K206" s="136">
        <v>215310</v>
      </c>
      <c r="L206" s="155"/>
      <c r="W206" s="109"/>
      <c r="X206" s="109"/>
      <c r="Y206" s="350"/>
      <c r="Z206" s="350"/>
      <c r="AA206" s="350"/>
      <c r="AB206" s="350"/>
      <c r="AC206" s="350"/>
      <c r="AD206" s="350"/>
    </row>
    <row r="207" spans="1:30" s="159" customFormat="1" ht="27.6">
      <c r="B207" s="184"/>
      <c r="C207" s="175">
        <v>5</v>
      </c>
      <c r="D207" s="133">
        <v>551343</v>
      </c>
      <c r="E207" s="134">
        <v>413508</v>
      </c>
      <c r="F207" s="134">
        <v>344589</v>
      </c>
      <c r="G207" s="135">
        <v>206754</v>
      </c>
      <c r="H207" s="133">
        <v>582771</v>
      </c>
      <c r="I207" s="134">
        <v>437079</v>
      </c>
      <c r="J207" s="134">
        <v>364233</v>
      </c>
      <c r="K207" s="136">
        <v>218538</v>
      </c>
      <c r="L207" s="155"/>
      <c r="W207" s="109"/>
      <c r="X207" s="109"/>
      <c r="Y207" s="357" t="s">
        <v>1206</v>
      </c>
      <c r="Z207" s="359" t="s">
        <v>1206</v>
      </c>
      <c r="AA207" s="359" t="s">
        <v>1206</v>
      </c>
      <c r="AB207" s="359" t="s">
        <v>1207</v>
      </c>
      <c r="AC207" s="366" t="s">
        <v>1208</v>
      </c>
      <c r="AD207" s="354" t="str">
        <f>"Total annual cost ("&amp;currency_enter&amp;")"</f>
        <v>Total annual cost ()</v>
      </c>
    </row>
    <row r="208" spans="1:30" s="159" customFormat="1" ht="14.4" thickBot="1">
      <c r="B208" s="184"/>
      <c r="C208" s="185">
        <v>6</v>
      </c>
      <c r="D208" s="139">
        <v>559611</v>
      </c>
      <c r="E208" s="140">
        <v>419709</v>
      </c>
      <c r="F208" s="140">
        <v>349758</v>
      </c>
      <c r="G208" s="146">
        <v>209853</v>
      </c>
      <c r="H208" s="139">
        <v>591510</v>
      </c>
      <c r="I208" s="140">
        <v>443634</v>
      </c>
      <c r="J208" s="140">
        <v>369693</v>
      </c>
      <c r="K208" s="141">
        <v>221817</v>
      </c>
      <c r="L208" s="155"/>
      <c r="W208" s="109"/>
      <c r="X208" s="109"/>
      <c r="Y208" s="358" t="s">
        <v>1203</v>
      </c>
      <c r="Z208" s="361" t="s">
        <v>1204</v>
      </c>
      <c r="AA208" s="360" t="s">
        <v>1205</v>
      </c>
      <c r="AB208" s="360"/>
      <c r="AC208" s="355"/>
      <c r="AD208" s="356">
        <v>2019</v>
      </c>
    </row>
    <row r="209" spans="1:30" s="159" customFormat="1">
      <c r="A209" s="159">
        <v>12</v>
      </c>
      <c r="B209" s="189" t="s">
        <v>942</v>
      </c>
      <c r="C209" s="174">
        <v>1</v>
      </c>
      <c r="D209" s="127">
        <v>440982</v>
      </c>
      <c r="E209" s="128">
        <v>330738</v>
      </c>
      <c r="F209" s="128">
        <v>275613</v>
      </c>
      <c r="G209" s="129">
        <v>165369</v>
      </c>
      <c r="H209" s="127">
        <v>466119</v>
      </c>
      <c r="I209" s="128">
        <v>349590</v>
      </c>
      <c r="J209" s="128">
        <v>291324</v>
      </c>
      <c r="K209" s="130">
        <v>174795</v>
      </c>
      <c r="L209" s="155"/>
      <c r="W209" s="109"/>
      <c r="X209" s="109"/>
      <c r="Y209" s="109"/>
      <c r="Z209" s="109"/>
      <c r="AA209" s="109"/>
      <c r="AB209" s="109"/>
      <c r="AC209" s="109"/>
      <c r="AD209" s="109"/>
    </row>
    <row r="210" spans="1:30" s="159" customFormat="1">
      <c r="B210" s="191" t="s">
        <v>943</v>
      </c>
      <c r="C210" s="175">
        <v>2</v>
      </c>
      <c r="D210" s="133">
        <v>447597</v>
      </c>
      <c r="E210" s="134">
        <v>335697</v>
      </c>
      <c r="F210" s="134">
        <v>279747</v>
      </c>
      <c r="G210" s="135">
        <v>167850</v>
      </c>
      <c r="H210" s="133">
        <v>473109</v>
      </c>
      <c r="I210" s="134">
        <v>354831</v>
      </c>
      <c r="J210" s="134">
        <v>295692</v>
      </c>
      <c r="K210" s="136">
        <v>177417</v>
      </c>
      <c r="L210" s="155"/>
      <c r="W210" s="352" t="s">
        <v>1187</v>
      </c>
      <c r="X210" s="109"/>
      <c r="Y210" s="365">
        <f>MEDIAN($H$209:$H$216)</f>
        <v>491071.5</v>
      </c>
      <c r="Z210" s="365">
        <f>MEDIAN($H$233:$H$240)</f>
        <v>561487.5</v>
      </c>
      <c r="AA210" s="365"/>
      <c r="AB210" s="365">
        <f>AVERAGE(Y210:AA210)</f>
        <v>526279.5</v>
      </c>
      <c r="AC210" s="365">
        <f t="shared" ref="AC210:AC216" si="11">AB210*35%</f>
        <v>184197.82499999998</v>
      </c>
      <c r="AD210" s="365">
        <f>SUM(AB210:AC210)</f>
        <v>710477.32499999995</v>
      </c>
    </row>
    <row r="211" spans="1:30" s="159" customFormat="1">
      <c r="B211" s="191" t="s">
        <v>944</v>
      </c>
      <c r="C211" s="175">
        <v>3</v>
      </c>
      <c r="D211" s="133">
        <v>454317</v>
      </c>
      <c r="E211" s="134">
        <v>340737</v>
      </c>
      <c r="F211" s="134">
        <v>283947</v>
      </c>
      <c r="G211" s="135">
        <v>170370</v>
      </c>
      <c r="H211" s="133">
        <v>480213</v>
      </c>
      <c r="I211" s="134">
        <v>360159</v>
      </c>
      <c r="J211" s="134">
        <v>300132</v>
      </c>
      <c r="K211" s="136">
        <v>180081</v>
      </c>
      <c r="L211" s="155"/>
      <c r="W211" s="352" t="s">
        <v>1188</v>
      </c>
      <c r="X211" s="109"/>
      <c r="Y211" s="365">
        <f t="shared" ref="Y211:Y216" si="12">MEDIAN($H$209:$H$216)</f>
        <v>491071.5</v>
      </c>
      <c r="Z211" s="365">
        <f t="shared" ref="Z211:Z216" si="13">MEDIAN($H$233:$H$240)</f>
        <v>561487.5</v>
      </c>
      <c r="AA211" s="365"/>
      <c r="AB211" s="365">
        <f t="shared" ref="AB211:AB216" si="14">AVERAGE(Y211:AA211)</f>
        <v>526279.5</v>
      </c>
      <c r="AC211" s="365">
        <f t="shared" si="11"/>
        <v>184197.82499999998</v>
      </c>
      <c r="AD211" s="365">
        <f t="shared" ref="AD211:AD216" si="15">SUM(AB211:AC211)</f>
        <v>710477.32499999995</v>
      </c>
    </row>
    <row r="212" spans="1:30" s="159" customFormat="1">
      <c r="B212" s="191" t="s">
        <v>945</v>
      </c>
      <c r="C212" s="175">
        <v>4</v>
      </c>
      <c r="D212" s="133">
        <v>461130</v>
      </c>
      <c r="E212" s="134">
        <v>345849</v>
      </c>
      <c r="F212" s="134">
        <v>288207</v>
      </c>
      <c r="G212" s="135">
        <v>172923</v>
      </c>
      <c r="H212" s="133">
        <v>487413</v>
      </c>
      <c r="I212" s="134">
        <v>365559</v>
      </c>
      <c r="J212" s="134">
        <v>304632</v>
      </c>
      <c r="K212" s="136">
        <v>182781</v>
      </c>
      <c r="L212" s="155"/>
      <c r="W212" s="352" t="s">
        <v>1189</v>
      </c>
      <c r="X212" s="352"/>
      <c r="Y212" s="365">
        <f t="shared" si="12"/>
        <v>491071.5</v>
      </c>
      <c r="Z212" s="365">
        <f t="shared" si="13"/>
        <v>561487.5</v>
      </c>
      <c r="AA212" s="365"/>
      <c r="AB212" s="365">
        <f t="shared" si="14"/>
        <v>526279.5</v>
      </c>
      <c r="AC212" s="365">
        <f t="shared" si="11"/>
        <v>184197.82499999998</v>
      </c>
      <c r="AD212" s="365">
        <f t="shared" si="15"/>
        <v>710477.32499999995</v>
      </c>
    </row>
    <row r="213" spans="1:30" s="159" customFormat="1">
      <c r="B213" s="191" t="s">
        <v>946</v>
      </c>
      <c r="C213" s="175">
        <v>5</v>
      </c>
      <c r="D213" s="133">
        <v>468051</v>
      </c>
      <c r="E213" s="134">
        <v>351039</v>
      </c>
      <c r="F213" s="134">
        <v>292533</v>
      </c>
      <c r="G213" s="135">
        <v>175518</v>
      </c>
      <c r="H213" s="133">
        <v>494730</v>
      </c>
      <c r="I213" s="134">
        <v>371049</v>
      </c>
      <c r="J213" s="134">
        <v>309207</v>
      </c>
      <c r="K213" s="136">
        <v>185523</v>
      </c>
      <c r="L213" s="155"/>
      <c r="W213" s="352" t="s">
        <v>1190</v>
      </c>
      <c r="X213" s="352"/>
      <c r="Y213" s="365">
        <f t="shared" si="12"/>
        <v>491071.5</v>
      </c>
      <c r="Z213" s="365">
        <f t="shared" si="13"/>
        <v>561487.5</v>
      </c>
      <c r="AA213" s="365"/>
      <c r="AB213" s="365">
        <f t="shared" si="14"/>
        <v>526279.5</v>
      </c>
      <c r="AC213" s="365">
        <f t="shared" si="11"/>
        <v>184197.82499999998</v>
      </c>
      <c r="AD213" s="365">
        <f t="shared" si="15"/>
        <v>710477.32499999995</v>
      </c>
    </row>
    <row r="214" spans="1:30" s="159" customFormat="1">
      <c r="B214" s="191" t="s">
        <v>947</v>
      </c>
      <c r="C214" s="175">
        <v>6</v>
      </c>
      <c r="D214" s="133">
        <v>475068</v>
      </c>
      <c r="E214" s="134">
        <v>356301</v>
      </c>
      <c r="F214" s="134">
        <v>296919</v>
      </c>
      <c r="G214" s="135">
        <v>178152</v>
      </c>
      <c r="H214" s="133">
        <v>502146</v>
      </c>
      <c r="I214" s="134">
        <v>376611</v>
      </c>
      <c r="J214" s="134">
        <v>313842</v>
      </c>
      <c r="K214" s="136">
        <v>188304</v>
      </c>
      <c r="L214" s="155"/>
      <c r="W214" s="352" t="s">
        <v>1191</v>
      </c>
      <c r="X214" s="352"/>
      <c r="Y214" s="365">
        <f t="shared" si="12"/>
        <v>491071.5</v>
      </c>
      <c r="Z214" s="365">
        <f t="shared" si="13"/>
        <v>561487.5</v>
      </c>
      <c r="AA214" s="365"/>
      <c r="AB214" s="365">
        <f t="shared" si="14"/>
        <v>526279.5</v>
      </c>
      <c r="AC214" s="365">
        <f t="shared" si="11"/>
        <v>184197.82499999998</v>
      </c>
      <c r="AD214" s="365">
        <f t="shared" si="15"/>
        <v>710477.32499999995</v>
      </c>
    </row>
    <row r="215" spans="1:30" s="159" customFormat="1">
      <c r="B215" s="191" t="s">
        <v>948</v>
      </c>
      <c r="C215" s="175">
        <v>7</v>
      </c>
      <c r="D215" s="133">
        <v>482202</v>
      </c>
      <c r="E215" s="134">
        <v>361653</v>
      </c>
      <c r="F215" s="134">
        <v>301377</v>
      </c>
      <c r="G215" s="135">
        <v>180825</v>
      </c>
      <c r="H215" s="133">
        <v>509688</v>
      </c>
      <c r="I215" s="134">
        <v>382266</v>
      </c>
      <c r="J215" s="134">
        <v>318555</v>
      </c>
      <c r="K215" s="136">
        <v>191133</v>
      </c>
      <c r="L215" s="155"/>
      <c r="W215" s="352" t="s">
        <v>1192</v>
      </c>
      <c r="X215" s="352"/>
      <c r="Y215" s="365">
        <f t="shared" si="12"/>
        <v>491071.5</v>
      </c>
      <c r="Z215" s="365">
        <f t="shared" si="13"/>
        <v>561487.5</v>
      </c>
      <c r="AA215" s="365"/>
      <c r="AB215" s="365">
        <f t="shared" si="14"/>
        <v>526279.5</v>
      </c>
      <c r="AC215" s="365">
        <f t="shared" si="11"/>
        <v>184197.82499999998</v>
      </c>
      <c r="AD215" s="365">
        <f t="shared" si="15"/>
        <v>710477.32499999995</v>
      </c>
    </row>
    <row r="216" spans="1:30" s="159" customFormat="1">
      <c r="B216" s="191" t="s">
        <v>949</v>
      </c>
      <c r="C216" s="175">
        <v>8</v>
      </c>
      <c r="D216" s="133">
        <v>489429</v>
      </c>
      <c r="E216" s="134">
        <v>367071</v>
      </c>
      <c r="F216" s="134">
        <v>305892</v>
      </c>
      <c r="G216" s="135">
        <v>183537</v>
      </c>
      <c r="H216" s="133">
        <v>517326</v>
      </c>
      <c r="I216" s="134">
        <v>387996</v>
      </c>
      <c r="J216" s="134">
        <v>323328</v>
      </c>
      <c r="K216" s="136">
        <v>193998</v>
      </c>
      <c r="L216" s="155"/>
      <c r="W216" s="352" t="s">
        <v>1193</v>
      </c>
      <c r="X216" s="352"/>
      <c r="Y216" s="365">
        <f t="shared" si="12"/>
        <v>491071.5</v>
      </c>
      <c r="Z216" s="365">
        <f t="shared" si="13"/>
        <v>561487.5</v>
      </c>
      <c r="AA216" s="365"/>
      <c r="AB216" s="365">
        <f t="shared" si="14"/>
        <v>526279.5</v>
      </c>
      <c r="AC216" s="365">
        <f t="shared" si="11"/>
        <v>184197.82499999998</v>
      </c>
      <c r="AD216" s="365">
        <f t="shared" si="15"/>
        <v>710477.32499999995</v>
      </c>
    </row>
    <row r="217" spans="1:30" s="159" customFormat="1">
      <c r="B217" s="191" t="s">
        <v>950</v>
      </c>
      <c r="C217" s="176"/>
      <c r="D217" s="149"/>
      <c r="E217" s="150"/>
      <c r="F217" s="150"/>
      <c r="G217" s="150"/>
      <c r="H217" s="149"/>
      <c r="I217" s="150"/>
      <c r="J217" s="150"/>
      <c r="K217" s="177"/>
      <c r="W217" s="109"/>
      <c r="X217" s="109"/>
      <c r="Y217" s="109"/>
      <c r="Z217" s="109"/>
      <c r="AA217" s="109"/>
      <c r="AB217" s="109"/>
      <c r="AC217" s="109"/>
      <c r="AD217" s="109"/>
    </row>
    <row r="218" spans="1:30" s="159" customFormat="1">
      <c r="B218" s="191" t="s">
        <v>951</v>
      </c>
      <c r="C218" s="176"/>
      <c r="D218" s="149"/>
      <c r="E218" s="150"/>
      <c r="F218" s="150"/>
      <c r="G218" s="150"/>
      <c r="H218" s="149"/>
      <c r="I218" s="150"/>
      <c r="J218" s="150"/>
      <c r="K218" s="177"/>
      <c r="W218" s="109"/>
      <c r="X218" s="109"/>
      <c r="Y218" s="109"/>
      <c r="Z218" s="109"/>
      <c r="AA218" s="109"/>
      <c r="AB218" s="109"/>
      <c r="AC218" s="109"/>
      <c r="AD218" s="109"/>
    </row>
    <row r="219" spans="1:30" s="159" customFormat="1">
      <c r="B219" s="191" t="s">
        <v>952</v>
      </c>
      <c r="C219" s="176"/>
      <c r="D219" s="149"/>
      <c r="E219" s="150"/>
      <c r="F219" s="150"/>
      <c r="G219" s="150"/>
      <c r="H219" s="149"/>
      <c r="I219" s="150"/>
      <c r="J219" s="150"/>
      <c r="K219" s="177"/>
      <c r="W219" s="109"/>
      <c r="X219" s="352"/>
      <c r="Y219" s="365"/>
      <c r="Z219" s="350"/>
      <c r="AA219" s="350"/>
      <c r="AB219" s="350"/>
      <c r="AC219" s="350"/>
      <c r="AD219" s="350"/>
    </row>
    <row r="220" spans="1:30" s="159" customFormat="1">
      <c r="B220" s="191" t="s">
        <v>953</v>
      </c>
      <c r="C220" s="176"/>
      <c r="D220" s="149"/>
      <c r="E220" s="150"/>
      <c r="F220" s="150"/>
      <c r="G220" s="150"/>
      <c r="H220" s="149"/>
      <c r="I220" s="150"/>
      <c r="J220" s="150"/>
      <c r="K220" s="177"/>
      <c r="W220" s="109"/>
      <c r="X220" s="352"/>
      <c r="Y220" s="365"/>
      <c r="Z220" s="350"/>
      <c r="AA220" s="350"/>
      <c r="AB220" s="350"/>
      <c r="AC220" s="350"/>
      <c r="AD220" s="350"/>
    </row>
    <row r="221" spans="1:30" s="159" customFormat="1">
      <c r="B221" s="191" t="s">
        <v>954</v>
      </c>
      <c r="C221" s="176"/>
      <c r="D221" s="149"/>
      <c r="E221" s="150"/>
      <c r="F221" s="150"/>
      <c r="G221" s="150"/>
      <c r="H221" s="149"/>
      <c r="I221" s="150"/>
      <c r="J221" s="150"/>
      <c r="K221" s="177"/>
      <c r="W221" s="109"/>
      <c r="X221" s="352"/>
      <c r="Y221" s="365"/>
      <c r="Z221" s="350"/>
      <c r="AA221" s="350"/>
      <c r="AB221" s="350"/>
      <c r="AC221" s="350"/>
      <c r="AD221" s="350"/>
    </row>
    <row r="222" spans="1:30" s="159" customFormat="1">
      <c r="B222" s="191" t="s">
        <v>955</v>
      </c>
      <c r="C222" s="176"/>
      <c r="D222" s="149"/>
      <c r="E222" s="150"/>
      <c r="F222" s="150"/>
      <c r="G222" s="150"/>
      <c r="H222" s="149"/>
      <c r="I222" s="150"/>
      <c r="J222" s="150"/>
      <c r="K222" s="177"/>
      <c r="W222" s="109"/>
      <c r="X222" s="352"/>
      <c r="Y222" s="365"/>
      <c r="Z222" s="350"/>
      <c r="AA222" s="350"/>
      <c r="AB222" s="350"/>
      <c r="AC222" s="350"/>
      <c r="AD222" s="350"/>
    </row>
    <row r="223" spans="1:30" s="159" customFormat="1">
      <c r="B223" s="191" t="s">
        <v>956</v>
      </c>
      <c r="C223" s="176"/>
      <c r="D223" s="148"/>
      <c r="E223" s="162"/>
      <c r="F223" s="162"/>
      <c r="G223" s="162"/>
      <c r="H223" s="148"/>
      <c r="I223" s="162"/>
      <c r="J223" s="162"/>
      <c r="K223" s="164"/>
      <c r="W223" s="109"/>
      <c r="X223" s="352"/>
      <c r="Y223" s="365"/>
      <c r="Z223" s="350"/>
      <c r="AA223" s="350"/>
      <c r="AB223" s="350"/>
      <c r="AC223" s="350"/>
      <c r="AD223" s="350"/>
    </row>
    <row r="224" spans="1:30" s="159" customFormat="1">
      <c r="B224" s="191" t="s">
        <v>957</v>
      </c>
      <c r="C224" s="176"/>
      <c r="D224" s="148"/>
      <c r="E224" s="162"/>
      <c r="F224" s="162"/>
      <c r="G224" s="162"/>
      <c r="H224" s="148"/>
      <c r="I224" s="162"/>
      <c r="J224" s="162"/>
      <c r="K224" s="164"/>
      <c r="W224" s="109"/>
      <c r="X224" s="352"/>
      <c r="Y224" s="365"/>
      <c r="Z224" s="350"/>
      <c r="AA224" s="350"/>
      <c r="AB224" s="350"/>
      <c r="AC224" s="350"/>
      <c r="AD224" s="350"/>
    </row>
    <row r="225" spans="1:30" s="159" customFormat="1">
      <c r="B225" s="191" t="s">
        <v>958</v>
      </c>
      <c r="C225" s="176"/>
      <c r="D225" s="148"/>
      <c r="E225" s="162"/>
      <c r="F225" s="162"/>
      <c r="G225" s="162"/>
      <c r="H225" s="148"/>
      <c r="I225" s="162"/>
      <c r="J225" s="162"/>
      <c r="K225" s="164"/>
      <c r="W225" s="109"/>
      <c r="X225" s="352"/>
      <c r="Y225" s="365"/>
      <c r="Z225" s="350"/>
      <c r="AA225" s="350"/>
      <c r="AB225" s="350"/>
      <c r="AC225" s="350"/>
      <c r="AD225" s="350"/>
    </row>
    <row r="226" spans="1:30" s="159" customFormat="1">
      <c r="B226" s="191" t="s">
        <v>959</v>
      </c>
      <c r="C226" s="176"/>
      <c r="D226" s="148"/>
      <c r="E226" s="162"/>
      <c r="F226" s="162"/>
      <c r="G226" s="162"/>
      <c r="H226" s="148"/>
      <c r="I226" s="162"/>
      <c r="J226" s="162"/>
      <c r="K226" s="164"/>
      <c r="W226" s="109"/>
      <c r="X226" s="352"/>
      <c r="Y226" s="365"/>
      <c r="Z226" s="350"/>
      <c r="AA226" s="350"/>
      <c r="AB226" s="350"/>
      <c r="AC226" s="350"/>
      <c r="AD226" s="350"/>
    </row>
    <row r="227" spans="1:30" s="159" customFormat="1">
      <c r="B227" s="191" t="s">
        <v>960</v>
      </c>
      <c r="C227" s="176"/>
      <c r="D227" s="148"/>
      <c r="E227" s="162"/>
      <c r="F227" s="162"/>
      <c r="G227" s="162"/>
      <c r="H227" s="148"/>
      <c r="I227" s="162"/>
      <c r="J227" s="162"/>
      <c r="K227" s="164"/>
      <c r="W227" s="109"/>
      <c r="X227" s="352"/>
      <c r="Y227" s="365"/>
      <c r="Z227" s="350"/>
      <c r="AA227" s="350"/>
      <c r="AB227" s="350"/>
      <c r="AC227" s="350"/>
      <c r="AD227" s="350"/>
    </row>
    <row r="228" spans="1:30" s="159" customFormat="1">
      <c r="B228" s="191" t="s">
        <v>961</v>
      </c>
      <c r="C228" s="176"/>
      <c r="D228" s="148"/>
      <c r="E228" s="162"/>
      <c r="F228" s="162"/>
      <c r="G228" s="162"/>
      <c r="H228" s="148"/>
      <c r="I228" s="162"/>
      <c r="J228" s="162"/>
      <c r="K228" s="164"/>
      <c r="W228" s="109"/>
      <c r="X228" s="352"/>
      <c r="Y228" s="365"/>
      <c r="Z228" s="350"/>
      <c r="AA228" s="350"/>
      <c r="AB228" s="350"/>
      <c r="AC228" s="350"/>
      <c r="AD228" s="350"/>
    </row>
    <row r="229" spans="1:30" s="159" customFormat="1">
      <c r="B229" s="191" t="s">
        <v>962</v>
      </c>
      <c r="C229" s="176"/>
      <c r="D229" s="148"/>
      <c r="E229" s="162"/>
      <c r="F229" s="162"/>
      <c r="G229" s="162"/>
      <c r="H229" s="148"/>
      <c r="I229" s="162"/>
      <c r="J229" s="162"/>
      <c r="K229" s="164"/>
      <c r="W229" s="109"/>
      <c r="X229" s="352"/>
      <c r="Y229" s="365"/>
      <c r="Z229" s="350"/>
      <c r="AA229" s="350"/>
      <c r="AB229" s="350"/>
      <c r="AC229" s="350"/>
      <c r="AD229" s="350"/>
    </row>
    <row r="230" spans="1:30" s="159" customFormat="1">
      <c r="B230" s="191" t="s">
        <v>963</v>
      </c>
      <c r="C230" s="176"/>
      <c r="D230" s="148"/>
      <c r="E230" s="162"/>
      <c r="F230" s="162"/>
      <c r="G230" s="162"/>
      <c r="H230" s="148"/>
      <c r="I230" s="162"/>
      <c r="J230" s="162"/>
      <c r="K230" s="164"/>
      <c r="W230" s="109"/>
      <c r="X230" s="352"/>
      <c r="Y230" s="365"/>
      <c r="Z230" s="350"/>
      <c r="AA230" s="350"/>
      <c r="AB230" s="350"/>
      <c r="AC230" s="350"/>
      <c r="AD230" s="350"/>
    </row>
    <row r="231" spans="1:30" s="159" customFormat="1">
      <c r="B231" s="191" t="s">
        <v>964</v>
      </c>
      <c r="C231" s="176"/>
      <c r="D231" s="148"/>
      <c r="E231" s="162"/>
      <c r="F231" s="162"/>
      <c r="G231" s="162"/>
      <c r="H231" s="148"/>
      <c r="I231" s="162"/>
      <c r="J231" s="162"/>
      <c r="K231" s="164"/>
      <c r="W231" s="109"/>
      <c r="X231" s="352"/>
      <c r="Y231" s="365"/>
      <c r="Z231" s="350"/>
      <c r="AA231" s="350"/>
      <c r="AB231" s="350"/>
      <c r="AC231" s="350"/>
      <c r="AD231" s="350"/>
    </row>
    <row r="232" spans="1:30" s="159" customFormat="1" ht="14.4" thickBot="1">
      <c r="B232" s="173" t="s">
        <v>965</v>
      </c>
      <c r="C232" s="178"/>
      <c r="D232" s="166"/>
      <c r="E232" s="167"/>
      <c r="F232" s="167"/>
      <c r="G232" s="167"/>
      <c r="H232" s="166"/>
      <c r="I232" s="167"/>
      <c r="J232" s="167"/>
      <c r="K232" s="179"/>
      <c r="W232" s="109"/>
      <c r="X232" s="352"/>
      <c r="Y232" s="365"/>
      <c r="Z232" s="350"/>
      <c r="AA232" s="350"/>
      <c r="AB232" s="350"/>
      <c r="AC232" s="350"/>
      <c r="AD232" s="350"/>
    </row>
    <row r="233" spans="1:30" s="159" customFormat="1">
      <c r="A233" s="159">
        <v>13</v>
      </c>
      <c r="B233" s="189" t="s">
        <v>966</v>
      </c>
      <c r="C233" s="186">
        <v>1</v>
      </c>
      <c r="D233" s="127">
        <v>504219</v>
      </c>
      <c r="E233" s="128">
        <v>378165</v>
      </c>
      <c r="F233" s="128">
        <v>315138</v>
      </c>
      <c r="G233" s="129">
        <v>189081</v>
      </c>
      <c r="H233" s="127">
        <v>532959</v>
      </c>
      <c r="I233" s="128">
        <v>399720</v>
      </c>
      <c r="J233" s="128">
        <v>333099</v>
      </c>
      <c r="K233" s="130">
        <v>199860</v>
      </c>
      <c r="L233" s="155"/>
      <c r="W233" s="109"/>
      <c r="X233" s="352"/>
      <c r="Y233" s="365"/>
      <c r="Z233" s="350"/>
      <c r="AA233" s="350"/>
      <c r="AB233" s="350"/>
      <c r="AC233" s="350"/>
      <c r="AD233" s="350"/>
    </row>
    <row r="234" spans="1:30" s="159" customFormat="1">
      <c r="B234" s="191" t="s">
        <v>967</v>
      </c>
      <c r="C234" s="175">
        <v>2</v>
      </c>
      <c r="D234" s="133">
        <v>511782</v>
      </c>
      <c r="E234" s="134">
        <v>383838</v>
      </c>
      <c r="F234" s="134">
        <v>319863</v>
      </c>
      <c r="G234" s="135">
        <v>191919</v>
      </c>
      <c r="H234" s="133">
        <v>540954</v>
      </c>
      <c r="I234" s="134">
        <v>405717</v>
      </c>
      <c r="J234" s="134">
        <v>338097</v>
      </c>
      <c r="K234" s="136">
        <v>202857</v>
      </c>
      <c r="L234" s="155"/>
      <c r="W234" s="109"/>
      <c r="X234" s="352"/>
      <c r="Y234" s="365"/>
      <c r="Z234" s="350"/>
      <c r="AA234" s="350"/>
      <c r="AB234" s="350"/>
      <c r="AC234" s="350"/>
      <c r="AD234" s="350"/>
    </row>
    <row r="235" spans="1:30" s="159" customFormat="1">
      <c r="B235" s="191" t="s">
        <v>968</v>
      </c>
      <c r="C235" s="175">
        <v>3</v>
      </c>
      <c r="D235" s="133">
        <v>519456</v>
      </c>
      <c r="E235" s="134">
        <v>389592</v>
      </c>
      <c r="F235" s="134">
        <v>324660</v>
      </c>
      <c r="G235" s="135">
        <v>194796</v>
      </c>
      <c r="H235" s="133">
        <v>549066</v>
      </c>
      <c r="I235" s="134">
        <v>411801</v>
      </c>
      <c r="J235" s="134">
        <v>343167</v>
      </c>
      <c r="K235" s="136">
        <v>205899</v>
      </c>
      <c r="L235" s="155"/>
      <c r="W235" s="109"/>
      <c r="X235" s="109"/>
      <c r="Y235" s="350"/>
      <c r="Z235" s="350"/>
      <c r="AA235" s="350"/>
      <c r="AB235" s="350"/>
      <c r="AC235" s="350"/>
      <c r="AD235" s="350"/>
    </row>
    <row r="236" spans="1:30" s="159" customFormat="1">
      <c r="B236" s="191" t="s">
        <v>969</v>
      </c>
      <c r="C236" s="175">
        <v>4</v>
      </c>
      <c r="D236" s="133">
        <v>527253</v>
      </c>
      <c r="E236" s="134">
        <v>395439</v>
      </c>
      <c r="F236" s="134">
        <v>329532</v>
      </c>
      <c r="G236" s="135">
        <v>197721</v>
      </c>
      <c r="H236" s="133">
        <v>557307</v>
      </c>
      <c r="I236" s="134">
        <v>417981</v>
      </c>
      <c r="J236" s="134">
        <v>348318</v>
      </c>
      <c r="K236" s="136">
        <v>208989</v>
      </c>
      <c r="L236" s="155"/>
      <c r="W236" s="109"/>
      <c r="X236" s="109"/>
      <c r="Y236" s="350"/>
      <c r="Z236" s="350"/>
      <c r="AA236" s="350"/>
      <c r="AB236" s="350"/>
      <c r="AC236" s="350"/>
      <c r="AD236" s="350"/>
    </row>
    <row r="237" spans="1:30" s="159" customFormat="1">
      <c r="B237" s="191" t="s">
        <v>970</v>
      </c>
      <c r="C237" s="175">
        <v>5</v>
      </c>
      <c r="D237" s="133">
        <v>535164</v>
      </c>
      <c r="E237" s="134">
        <v>401373</v>
      </c>
      <c r="F237" s="134">
        <v>334479</v>
      </c>
      <c r="G237" s="135">
        <v>200688</v>
      </c>
      <c r="H237" s="133">
        <v>565668</v>
      </c>
      <c r="I237" s="134">
        <v>424251</v>
      </c>
      <c r="J237" s="134">
        <v>353544</v>
      </c>
      <c r="K237" s="136">
        <v>212127</v>
      </c>
      <c r="L237" s="155"/>
      <c r="W237" s="109"/>
      <c r="X237" s="109"/>
      <c r="Y237" s="350"/>
      <c r="Z237" s="350"/>
      <c r="AA237" s="350"/>
      <c r="AB237" s="350"/>
      <c r="AC237" s="350"/>
      <c r="AD237" s="350"/>
    </row>
    <row r="238" spans="1:30" s="159" customFormat="1">
      <c r="B238" s="191" t="s">
        <v>971</v>
      </c>
      <c r="C238" s="175">
        <v>6</v>
      </c>
      <c r="D238" s="133">
        <v>543195</v>
      </c>
      <c r="E238" s="134">
        <v>407397</v>
      </c>
      <c r="F238" s="134">
        <v>339498</v>
      </c>
      <c r="G238" s="135">
        <v>203697</v>
      </c>
      <c r="H238" s="133">
        <v>574158</v>
      </c>
      <c r="I238" s="134">
        <v>430620</v>
      </c>
      <c r="J238" s="134">
        <v>358848</v>
      </c>
      <c r="K238" s="136">
        <v>215310</v>
      </c>
      <c r="L238" s="155"/>
      <c r="W238" s="109"/>
      <c r="X238" s="109"/>
      <c r="Y238" s="350"/>
      <c r="Z238" s="350"/>
      <c r="AA238" s="350"/>
      <c r="AB238" s="350"/>
      <c r="AC238" s="350"/>
      <c r="AD238" s="350"/>
    </row>
    <row r="239" spans="1:30" s="159" customFormat="1">
      <c r="B239" s="191" t="s">
        <v>972</v>
      </c>
      <c r="C239" s="175">
        <v>7</v>
      </c>
      <c r="D239" s="133">
        <v>551343</v>
      </c>
      <c r="E239" s="134">
        <v>413508</v>
      </c>
      <c r="F239" s="134">
        <v>344589</v>
      </c>
      <c r="G239" s="135">
        <v>206754</v>
      </c>
      <c r="H239" s="133">
        <v>582771</v>
      </c>
      <c r="I239" s="134">
        <v>437079</v>
      </c>
      <c r="J239" s="134">
        <v>364233</v>
      </c>
      <c r="K239" s="136">
        <v>218538</v>
      </c>
      <c r="L239" s="155"/>
      <c r="W239" s="109"/>
      <c r="X239" s="109"/>
      <c r="Y239" s="350"/>
      <c r="Z239" s="350"/>
      <c r="AA239" s="350"/>
      <c r="AB239" s="350"/>
      <c r="AC239" s="350"/>
      <c r="AD239" s="350"/>
    </row>
    <row r="240" spans="1:30" s="159" customFormat="1">
      <c r="B240" s="191" t="s">
        <v>973</v>
      </c>
      <c r="C240" s="175">
        <v>8</v>
      </c>
      <c r="D240" s="133">
        <v>559611</v>
      </c>
      <c r="E240" s="134">
        <v>419709</v>
      </c>
      <c r="F240" s="134">
        <v>349758</v>
      </c>
      <c r="G240" s="135">
        <v>209853</v>
      </c>
      <c r="H240" s="133">
        <v>591510</v>
      </c>
      <c r="I240" s="134">
        <v>443634</v>
      </c>
      <c r="J240" s="134">
        <v>369693</v>
      </c>
      <c r="K240" s="136">
        <v>221817</v>
      </c>
      <c r="L240" s="155"/>
      <c r="W240" s="109"/>
      <c r="X240" s="109"/>
      <c r="Y240" s="350"/>
      <c r="Z240" s="350"/>
      <c r="AA240" s="350"/>
      <c r="AB240" s="350"/>
      <c r="AC240" s="350"/>
      <c r="AD240" s="350"/>
    </row>
    <row r="241" spans="2:30" s="159" customFormat="1">
      <c r="B241" s="191" t="s">
        <v>974</v>
      </c>
      <c r="C241" s="176"/>
      <c r="D241" s="149"/>
      <c r="E241" s="150"/>
      <c r="F241" s="150"/>
      <c r="G241" s="150"/>
      <c r="H241" s="149"/>
      <c r="I241" s="150"/>
      <c r="J241" s="150"/>
      <c r="K241" s="177"/>
      <c r="W241" s="109"/>
      <c r="X241" s="109"/>
      <c r="Y241" s="350"/>
      <c r="Z241" s="350"/>
      <c r="AA241" s="350"/>
      <c r="AB241" s="350"/>
      <c r="AC241" s="350"/>
      <c r="AD241" s="350"/>
    </row>
    <row r="242" spans="2:30" s="159" customFormat="1">
      <c r="B242" s="191" t="s">
        <v>975</v>
      </c>
      <c r="C242" s="176"/>
      <c r="D242" s="149"/>
      <c r="E242" s="150"/>
      <c r="F242" s="150"/>
      <c r="G242" s="150"/>
      <c r="H242" s="149"/>
      <c r="I242" s="150"/>
      <c r="J242" s="150"/>
      <c r="K242" s="177"/>
      <c r="W242" s="109"/>
      <c r="X242" s="109"/>
      <c r="Y242" s="350"/>
      <c r="Z242" s="350"/>
      <c r="AA242" s="350"/>
      <c r="AB242" s="350"/>
      <c r="AC242" s="350"/>
      <c r="AD242" s="350"/>
    </row>
    <row r="243" spans="2:30" s="159" customFormat="1">
      <c r="B243" s="191" t="s">
        <v>976</v>
      </c>
      <c r="C243" s="176"/>
      <c r="D243" s="149"/>
      <c r="E243" s="150"/>
      <c r="F243" s="150"/>
      <c r="G243" s="150"/>
      <c r="H243" s="149"/>
      <c r="I243" s="150"/>
      <c r="J243" s="150"/>
      <c r="K243" s="177"/>
      <c r="W243" s="109"/>
      <c r="X243" s="109"/>
      <c r="Y243" s="350"/>
      <c r="Z243" s="350"/>
      <c r="AA243" s="350"/>
      <c r="AB243" s="350"/>
      <c r="AC243" s="350"/>
      <c r="AD243" s="350"/>
    </row>
    <row r="244" spans="2:30" s="159" customFormat="1">
      <c r="B244" s="191" t="s">
        <v>977</v>
      </c>
      <c r="C244" s="176"/>
      <c r="D244" s="149"/>
      <c r="E244" s="150"/>
      <c r="F244" s="150"/>
      <c r="G244" s="150"/>
      <c r="H244" s="149"/>
      <c r="I244" s="150"/>
      <c r="J244" s="150"/>
      <c r="K244" s="177"/>
      <c r="W244" s="109"/>
      <c r="X244" s="109"/>
      <c r="Y244" s="350"/>
      <c r="Z244" s="350"/>
      <c r="AA244" s="350"/>
      <c r="AB244" s="350"/>
      <c r="AC244" s="350"/>
      <c r="AD244" s="350"/>
    </row>
    <row r="245" spans="2:30" s="159" customFormat="1">
      <c r="B245" s="191" t="s">
        <v>978</v>
      </c>
      <c r="C245" s="176"/>
      <c r="D245" s="149"/>
      <c r="E245" s="150"/>
      <c r="F245" s="150"/>
      <c r="G245" s="150"/>
      <c r="H245" s="149"/>
      <c r="I245" s="150"/>
      <c r="J245" s="150"/>
      <c r="K245" s="177"/>
      <c r="W245" s="109"/>
      <c r="X245" s="109"/>
      <c r="Y245" s="350"/>
      <c r="Z245" s="350"/>
      <c r="AA245" s="350"/>
      <c r="AB245" s="350"/>
      <c r="AC245" s="350"/>
      <c r="AD245" s="350"/>
    </row>
    <row r="246" spans="2:30" s="159" customFormat="1">
      <c r="B246" s="191" t="s">
        <v>979</v>
      </c>
      <c r="C246" s="176"/>
      <c r="D246" s="149"/>
      <c r="E246" s="150"/>
      <c r="F246" s="150"/>
      <c r="G246" s="150"/>
      <c r="H246" s="149"/>
      <c r="I246" s="150"/>
      <c r="J246" s="150"/>
      <c r="K246" s="177"/>
      <c r="W246" s="109"/>
      <c r="X246" s="109"/>
      <c r="Y246" s="350"/>
      <c r="Z246" s="350"/>
      <c r="AA246" s="350"/>
      <c r="AB246" s="350"/>
      <c r="AC246" s="350"/>
      <c r="AD246" s="350"/>
    </row>
    <row r="247" spans="2:30" s="159" customFormat="1">
      <c r="B247" s="191" t="s">
        <v>980</v>
      </c>
      <c r="C247" s="176"/>
      <c r="D247" s="148"/>
      <c r="E247" s="162"/>
      <c r="F247" s="162"/>
      <c r="G247" s="162"/>
      <c r="H247" s="148"/>
      <c r="I247" s="162"/>
      <c r="J247" s="162"/>
      <c r="K247" s="164"/>
      <c r="W247" s="109"/>
      <c r="X247" s="109"/>
      <c r="Y247" s="350"/>
      <c r="Z247" s="350"/>
      <c r="AA247" s="350"/>
      <c r="AB247" s="350"/>
      <c r="AC247" s="350"/>
      <c r="AD247" s="350"/>
    </row>
    <row r="248" spans="2:30" s="159" customFormat="1">
      <c r="B248" s="191" t="s">
        <v>981</v>
      </c>
      <c r="C248" s="176"/>
      <c r="D248" s="149"/>
      <c r="E248" s="150"/>
      <c r="F248" s="150"/>
      <c r="G248" s="150"/>
      <c r="H248" s="149"/>
      <c r="I248" s="150"/>
      <c r="J248" s="150"/>
      <c r="K248" s="177"/>
      <c r="W248" s="109"/>
      <c r="X248" s="109"/>
      <c r="Y248" s="350"/>
      <c r="Z248" s="350"/>
      <c r="AA248" s="350"/>
      <c r="AB248" s="350"/>
      <c r="AC248" s="350"/>
      <c r="AD248" s="350"/>
    </row>
    <row r="249" spans="2:30" s="159" customFormat="1">
      <c r="B249" s="191" t="s">
        <v>982</v>
      </c>
      <c r="C249" s="176"/>
      <c r="D249" s="149"/>
      <c r="E249" s="150"/>
      <c r="F249" s="150"/>
      <c r="G249" s="150"/>
      <c r="H249" s="149"/>
      <c r="I249" s="150"/>
      <c r="J249" s="150"/>
      <c r="K249" s="177"/>
      <c r="W249" s="109"/>
      <c r="X249" s="109"/>
      <c r="Y249" s="350"/>
      <c r="Z249" s="350"/>
      <c r="AA249" s="350"/>
      <c r="AB249" s="350"/>
      <c r="AC249" s="350"/>
      <c r="AD249" s="350"/>
    </row>
    <row r="250" spans="2:30" s="159" customFormat="1">
      <c r="B250" s="191" t="s">
        <v>983</v>
      </c>
      <c r="C250" s="176"/>
      <c r="D250" s="149"/>
      <c r="E250" s="150"/>
      <c r="F250" s="150"/>
      <c r="G250" s="150"/>
      <c r="H250" s="149"/>
      <c r="I250" s="150"/>
      <c r="J250" s="150"/>
      <c r="K250" s="177"/>
      <c r="W250" s="109"/>
      <c r="X250" s="109"/>
      <c r="Y250" s="350"/>
      <c r="Z250" s="350"/>
      <c r="AA250" s="350"/>
      <c r="AB250" s="350"/>
      <c r="AC250" s="350"/>
      <c r="AD250" s="350"/>
    </row>
    <row r="251" spans="2:30" s="159" customFormat="1">
      <c r="B251" s="191" t="s">
        <v>984</v>
      </c>
      <c r="C251" s="176"/>
      <c r="D251" s="149"/>
      <c r="E251" s="150"/>
      <c r="F251" s="150"/>
      <c r="G251" s="150"/>
      <c r="H251" s="149"/>
      <c r="I251" s="150"/>
      <c r="J251" s="150"/>
      <c r="K251" s="177"/>
      <c r="W251" s="109"/>
      <c r="X251" s="109"/>
      <c r="Y251" s="350"/>
      <c r="Z251" s="350"/>
      <c r="AA251" s="350"/>
      <c r="AB251" s="350"/>
      <c r="AC251" s="350"/>
      <c r="AD251" s="350"/>
    </row>
    <row r="252" spans="2:30" s="159" customFormat="1">
      <c r="B252" s="191" t="s">
        <v>985</v>
      </c>
      <c r="C252" s="176"/>
      <c r="D252" s="149"/>
      <c r="E252" s="150"/>
      <c r="F252" s="150"/>
      <c r="G252" s="150"/>
      <c r="H252" s="149"/>
      <c r="I252" s="150"/>
      <c r="J252" s="150"/>
      <c r="K252" s="177"/>
      <c r="W252" s="109"/>
      <c r="X252" s="109"/>
      <c r="Y252" s="350"/>
      <c r="Z252" s="350"/>
      <c r="AA252" s="350"/>
      <c r="AB252" s="350"/>
      <c r="AC252" s="350"/>
      <c r="AD252" s="350"/>
    </row>
    <row r="253" spans="2:30" s="159" customFormat="1">
      <c r="B253" s="191" t="s">
        <v>986</v>
      </c>
      <c r="C253" s="176"/>
      <c r="D253" s="149"/>
      <c r="E253" s="150"/>
      <c r="F253" s="150"/>
      <c r="G253" s="150"/>
      <c r="H253" s="149"/>
      <c r="I253" s="150"/>
      <c r="J253" s="150"/>
      <c r="K253" s="177"/>
      <c r="W253" s="109"/>
      <c r="X253" s="109"/>
      <c r="Y253" s="231" t="s">
        <v>1131</v>
      </c>
      <c r="Z253" s="350"/>
      <c r="AA253" s="350"/>
      <c r="AB253" s="350"/>
      <c r="AC253" s="350"/>
      <c r="AD253" s="350"/>
    </row>
    <row r="254" spans="2:30" s="159" customFormat="1" ht="14.4" thickBot="1">
      <c r="B254" s="191" t="s">
        <v>987</v>
      </c>
      <c r="C254" s="176"/>
      <c r="D254" s="149"/>
      <c r="E254" s="150"/>
      <c r="F254" s="150"/>
      <c r="G254" s="150"/>
      <c r="H254" s="149"/>
      <c r="I254" s="150"/>
      <c r="J254" s="150"/>
      <c r="K254" s="177"/>
      <c r="W254" s="109"/>
      <c r="X254" s="109"/>
      <c r="Y254" s="350"/>
      <c r="Z254" s="350"/>
      <c r="AA254" s="350"/>
      <c r="AB254" s="350"/>
      <c r="AC254" s="350"/>
      <c r="AD254" s="350"/>
    </row>
    <row r="255" spans="2:30" s="159" customFormat="1" ht="27.6">
      <c r="B255" s="191" t="s">
        <v>988</v>
      </c>
      <c r="C255" s="176"/>
      <c r="D255" s="149"/>
      <c r="E255" s="150"/>
      <c r="F255" s="150"/>
      <c r="G255" s="150"/>
      <c r="H255" s="149"/>
      <c r="I255" s="150"/>
      <c r="J255" s="150"/>
      <c r="K255" s="177"/>
      <c r="W255" s="109"/>
      <c r="X255" s="109"/>
      <c r="Y255" s="357" t="s">
        <v>1206</v>
      </c>
      <c r="Z255" s="359" t="s">
        <v>1206</v>
      </c>
      <c r="AA255" s="359" t="s">
        <v>1206</v>
      </c>
      <c r="AB255" s="359" t="s">
        <v>1207</v>
      </c>
      <c r="AC255" s="366" t="s">
        <v>1208</v>
      </c>
      <c r="AD255" s="354" t="str">
        <f>"Total annual cost ("&amp;currency_enter&amp;")"</f>
        <v>Total annual cost ()</v>
      </c>
    </row>
    <row r="256" spans="2:30" s="159" customFormat="1" ht="14.4" thickBot="1">
      <c r="B256" s="191" t="s">
        <v>989</v>
      </c>
      <c r="C256" s="178"/>
      <c r="D256" s="181"/>
      <c r="E256" s="182"/>
      <c r="F256" s="182"/>
      <c r="G256" s="182"/>
      <c r="H256" s="181"/>
      <c r="I256" s="182"/>
      <c r="J256" s="182"/>
      <c r="K256" s="183"/>
      <c r="W256" s="109"/>
      <c r="X256" s="109"/>
      <c r="Y256" s="358" t="s">
        <v>1203</v>
      </c>
      <c r="Z256" s="361" t="s">
        <v>1204</v>
      </c>
      <c r="AA256" s="360" t="s">
        <v>1205</v>
      </c>
      <c r="AB256" s="360"/>
      <c r="AC256" s="355"/>
      <c r="AD256" s="356">
        <v>2019</v>
      </c>
    </row>
    <row r="257" spans="1:30" s="159" customFormat="1">
      <c r="A257" s="159">
        <v>14</v>
      </c>
      <c r="B257" s="189" t="s">
        <v>990</v>
      </c>
      <c r="C257" s="174">
        <v>1</v>
      </c>
      <c r="D257" s="127">
        <v>489429</v>
      </c>
      <c r="E257" s="128">
        <v>367071</v>
      </c>
      <c r="F257" s="128">
        <v>305892</v>
      </c>
      <c r="G257" s="129">
        <v>183537</v>
      </c>
      <c r="H257" s="127">
        <v>517326</v>
      </c>
      <c r="I257" s="128">
        <v>387996</v>
      </c>
      <c r="J257" s="128">
        <v>323328</v>
      </c>
      <c r="K257" s="130">
        <v>193998</v>
      </c>
      <c r="L257" s="155"/>
      <c r="W257" s="109"/>
      <c r="X257" s="109"/>
      <c r="Y257" s="350"/>
      <c r="Z257" s="350"/>
      <c r="AA257" s="350"/>
      <c r="AB257" s="350"/>
      <c r="AC257" s="350"/>
      <c r="AD257" s="350"/>
    </row>
    <row r="258" spans="1:30" s="159" customFormat="1">
      <c r="B258" s="191" t="s">
        <v>991</v>
      </c>
      <c r="C258" s="175">
        <v>2</v>
      </c>
      <c r="D258" s="133">
        <v>496776</v>
      </c>
      <c r="E258" s="134">
        <v>372582</v>
      </c>
      <c r="F258" s="134">
        <v>310485</v>
      </c>
      <c r="G258" s="135">
        <v>186291</v>
      </c>
      <c r="H258" s="133">
        <v>525093</v>
      </c>
      <c r="I258" s="134">
        <v>393819</v>
      </c>
      <c r="J258" s="134">
        <v>328182</v>
      </c>
      <c r="K258" s="136">
        <v>196911</v>
      </c>
      <c r="L258" s="155"/>
      <c r="W258" s="352" t="s">
        <v>1209</v>
      </c>
      <c r="X258" s="109"/>
      <c r="Y258" s="365">
        <f>MEDIAN($H$257:$H$264)</f>
        <v>545010</v>
      </c>
      <c r="Z258" s="365">
        <f>MEDIAN($H$281:$H$288)</f>
        <v>623158.5</v>
      </c>
      <c r="AA258" s="365"/>
      <c r="AB258" s="365">
        <f>AVERAGE(Y258:AA258)</f>
        <v>584084.25</v>
      </c>
      <c r="AC258" s="365">
        <f t="shared" ref="AC258:AC264" si="16">AB258*35%</f>
        <v>204429.48749999999</v>
      </c>
      <c r="AD258" s="365">
        <f>SUM(AB258:AC258)</f>
        <v>788513.73750000005</v>
      </c>
    </row>
    <row r="259" spans="1:30" s="159" customFormat="1">
      <c r="B259" s="191" t="s">
        <v>992</v>
      </c>
      <c r="C259" s="175">
        <v>3</v>
      </c>
      <c r="D259" s="133">
        <v>504219</v>
      </c>
      <c r="E259" s="134">
        <v>378165</v>
      </c>
      <c r="F259" s="134">
        <v>315138</v>
      </c>
      <c r="G259" s="135">
        <v>189081</v>
      </c>
      <c r="H259" s="133">
        <v>532959</v>
      </c>
      <c r="I259" s="134">
        <v>399720</v>
      </c>
      <c r="J259" s="134">
        <v>333099</v>
      </c>
      <c r="K259" s="136">
        <v>199860</v>
      </c>
      <c r="L259" s="155"/>
      <c r="W259" s="352" t="s">
        <v>1210</v>
      </c>
      <c r="X259" s="109"/>
      <c r="Y259" s="365">
        <f t="shared" ref="Y259:Y264" si="17">MEDIAN($H$257:$H$264)</f>
        <v>545010</v>
      </c>
      <c r="Z259" s="365">
        <f t="shared" ref="Z259:Z264" si="18">MEDIAN($H$281:$H$288)</f>
        <v>623158.5</v>
      </c>
      <c r="AA259" s="365"/>
      <c r="AB259" s="365">
        <f t="shared" ref="AB259:AB264" si="19">AVERAGE(Y259:AA259)</f>
        <v>584084.25</v>
      </c>
      <c r="AC259" s="365">
        <f t="shared" si="16"/>
        <v>204429.48749999999</v>
      </c>
      <c r="AD259" s="365">
        <f t="shared" ref="AD259:AD264" si="20">SUM(AB259:AC259)</f>
        <v>788513.73750000005</v>
      </c>
    </row>
    <row r="260" spans="1:30" s="159" customFormat="1">
      <c r="B260" s="191" t="s">
        <v>993</v>
      </c>
      <c r="C260" s="175">
        <v>4</v>
      </c>
      <c r="D260" s="133">
        <v>511782</v>
      </c>
      <c r="E260" s="134">
        <v>383838</v>
      </c>
      <c r="F260" s="134">
        <v>319863</v>
      </c>
      <c r="G260" s="135">
        <v>191919</v>
      </c>
      <c r="H260" s="133">
        <v>540954</v>
      </c>
      <c r="I260" s="134">
        <v>405717</v>
      </c>
      <c r="J260" s="134">
        <v>338097</v>
      </c>
      <c r="K260" s="136">
        <v>202857</v>
      </c>
      <c r="L260" s="155"/>
      <c r="W260" s="352" t="s">
        <v>1211</v>
      </c>
      <c r="X260" s="109"/>
      <c r="Y260" s="365">
        <f t="shared" si="17"/>
        <v>545010</v>
      </c>
      <c r="Z260" s="365">
        <f t="shared" si="18"/>
        <v>623158.5</v>
      </c>
      <c r="AA260" s="365"/>
      <c r="AB260" s="365">
        <f t="shared" si="19"/>
        <v>584084.25</v>
      </c>
      <c r="AC260" s="365">
        <f t="shared" si="16"/>
        <v>204429.48749999999</v>
      </c>
      <c r="AD260" s="365">
        <f t="shared" si="20"/>
        <v>788513.73750000005</v>
      </c>
    </row>
    <row r="261" spans="1:30" s="159" customFormat="1">
      <c r="B261" s="191" t="s">
        <v>994</v>
      </c>
      <c r="C261" s="175">
        <v>5</v>
      </c>
      <c r="D261" s="133">
        <v>519456</v>
      </c>
      <c r="E261" s="134">
        <v>389592</v>
      </c>
      <c r="F261" s="134">
        <v>324660</v>
      </c>
      <c r="G261" s="135">
        <v>194796</v>
      </c>
      <c r="H261" s="133">
        <v>549066</v>
      </c>
      <c r="I261" s="134">
        <v>411801</v>
      </c>
      <c r="J261" s="134">
        <v>343167</v>
      </c>
      <c r="K261" s="136">
        <v>205899</v>
      </c>
      <c r="L261" s="155"/>
      <c r="W261" s="352" t="s">
        <v>1212</v>
      </c>
      <c r="X261" s="109"/>
      <c r="Y261" s="365">
        <f t="shared" si="17"/>
        <v>545010</v>
      </c>
      <c r="Z261" s="365">
        <f t="shared" si="18"/>
        <v>623158.5</v>
      </c>
      <c r="AA261" s="365"/>
      <c r="AB261" s="365">
        <f t="shared" si="19"/>
        <v>584084.25</v>
      </c>
      <c r="AC261" s="365">
        <f t="shared" si="16"/>
        <v>204429.48749999999</v>
      </c>
      <c r="AD261" s="365">
        <f t="shared" si="20"/>
        <v>788513.73750000005</v>
      </c>
    </row>
    <row r="262" spans="1:30" s="159" customFormat="1">
      <c r="B262" s="191" t="s">
        <v>995</v>
      </c>
      <c r="C262" s="175">
        <v>6</v>
      </c>
      <c r="D262" s="133">
        <v>527253</v>
      </c>
      <c r="E262" s="134">
        <v>395439</v>
      </c>
      <c r="F262" s="134">
        <v>329532</v>
      </c>
      <c r="G262" s="135">
        <v>197721</v>
      </c>
      <c r="H262" s="133">
        <v>557307</v>
      </c>
      <c r="I262" s="134">
        <v>417981</v>
      </c>
      <c r="J262" s="134">
        <v>348318</v>
      </c>
      <c r="K262" s="136">
        <v>208989</v>
      </c>
      <c r="L262" s="155"/>
      <c r="W262" s="352" t="s">
        <v>1213</v>
      </c>
      <c r="X262" s="109"/>
      <c r="Y262" s="365">
        <f t="shared" si="17"/>
        <v>545010</v>
      </c>
      <c r="Z262" s="365">
        <f t="shared" si="18"/>
        <v>623158.5</v>
      </c>
      <c r="AA262" s="365"/>
      <c r="AB262" s="365">
        <f t="shared" si="19"/>
        <v>584084.25</v>
      </c>
      <c r="AC262" s="365">
        <f t="shared" si="16"/>
        <v>204429.48749999999</v>
      </c>
      <c r="AD262" s="365">
        <f t="shared" si="20"/>
        <v>788513.73750000005</v>
      </c>
    </row>
    <row r="263" spans="1:30" s="159" customFormat="1">
      <c r="B263" s="191" t="s">
        <v>996</v>
      </c>
      <c r="C263" s="175">
        <v>7</v>
      </c>
      <c r="D263" s="133">
        <v>535164</v>
      </c>
      <c r="E263" s="134">
        <v>401373</v>
      </c>
      <c r="F263" s="134">
        <v>334479</v>
      </c>
      <c r="G263" s="135">
        <v>200688</v>
      </c>
      <c r="H263" s="133">
        <v>565668</v>
      </c>
      <c r="I263" s="134">
        <v>424251</v>
      </c>
      <c r="J263" s="134">
        <v>353544</v>
      </c>
      <c r="K263" s="136">
        <v>212127</v>
      </c>
      <c r="L263" s="155"/>
      <c r="W263" s="352" t="s">
        <v>1214</v>
      </c>
      <c r="X263" s="109"/>
      <c r="Y263" s="365">
        <f t="shared" si="17"/>
        <v>545010</v>
      </c>
      <c r="Z263" s="365">
        <f t="shared" si="18"/>
        <v>623158.5</v>
      </c>
      <c r="AA263" s="365"/>
      <c r="AB263" s="365">
        <f t="shared" si="19"/>
        <v>584084.25</v>
      </c>
      <c r="AC263" s="365">
        <f t="shared" si="16"/>
        <v>204429.48749999999</v>
      </c>
      <c r="AD263" s="365">
        <f t="shared" si="20"/>
        <v>788513.73750000005</v>
      </c>
    </row>
    <row r="264" spans="1:30" s="159" customFormat="1">
      <c r="B264" s="191" t="s">
        <v>997</v>
      </c>
      <c r="C264" s="175">
        <v>8</v>
      </c>
      <c r="D264" s="133">
        <v>543195</v>
      </c>
      <c r="E264" s="134">
        <v>407397</v>
      </c>
      <c r="F264" s="134">
        <v>339498</v>
      </c>
      <c r="G264" s="135">
        <v>203697</v>
      </c>
      <c r="H264" s="133">
        <v>574158</v>
      </c>
      <c r="I264" s="134">
        <v>430620</v>
      </c>
      <c r="J264" s="134">
        <v>358848</v>
      </c>
      <c r="K264" s="136">
        <v>215310</v>
      </c>
      <c r="L264" s="155"/>
      <c r="W264" s="352" t="s">
        <v>1215</v>
      </c>
      <c r="X264" s="109"/>
      <c r="Y264" s="365">
        <f t="shared" si="17"/>
        <v>545010</v>
      </c>
      <c r="Z264" s="365">
        <f t="shared" si="18"/>
        <v>623158.5</v>
      </c>
      <c r="AA264" s="365"/>
      <c r="AB264" s="365">
        <f t="shared" si="19"/>
        <v>584084.25</v>
      </c>
      <c r="AC264" s="365">
        <f t="shared" si="16"/>
        <v>204429.48749999999</v>
      </c>
      <c r="AD264" s="365">
        <f t="shared" si="20"/>
        <v>788513.73750000005</v>
      </c>
    </row>
    <row r="265" spans="1:30" s="159" customFormat="1">
      <c r="B265" s="191" t="s">
        <v>998</v>
      </c>
      <c r="C265" s="176"/>
      <c r="D265" s="148"/>
      <c r="E265" s="162"/>
      <c r="F265" s="162"/>
      <c r="G265" s="162"/>
      <c r="H265" s="148"/>
      <c r="I265" s="162"/>
      <c r="J265" s="162"/>
      <c r="K265" s="164"/>
      <c r="W265" s="109"/>
      <c r="X265" s="109"/>
      <c r="Y265" s="350"/>
      <c r="Z265" s="350"/>
      <c r="AA265" s="350"/>
      <c r="AB265" s="350"/>
      <c r="AC265" s="350"/>
      <c r="AD265" s="350"/>
    </row>
    <row r="266" spans="1:30" s="159" customFormat="1">
      <c r="B266" s="191" t="s">
        <v>999</v>
      </c>
      <c r="C266" s="176"/>
      <c r="D266" s="148"/>
      <c r="E266" s="162"/>
      <c r="F266" s="162"/>
      <c r="G266" s="162"/>
      <c r="H266" s="148"/>
      <c r="I266" s="162"/>
      <c r="J266" s="162"/>
      <c r="K266" s="164"/>
      <c r="W266" s="109"/>
      <c r="X266" s="109"/>
      <c r="Y266" s="350"/>
      <c r="Z266" s="350"/>
      <c r="AA266" s="350"/>
      <c r="AB266" s="350"/>
      <c r="AC266" s="350"/>
      <c r="AD266" s="350"/>
    </row>
    <row r="267" spans="1:30" s="159" customFormat="1">
      <c r="B267" s="191" t="s">
        <v>1000</v>
      </c>
      <c r="C267" s="176"/>
      <c r="D267" s="148"/>
      <c r="E267" s="162"/>
      <c r="F267" s="162"/>
      <c r="G267" s="162"/>
      <c r="H267" s="148"/>
      <c r="I267" s="162"/>
      <c r="J267" s="162"/>
      <c r="K267" s="164"/>
      <c r="W267" s="109"/>
      <c r="X267" s="109"/>
      <c r="Y267" s="350"/>
      <c r="Z267" s="350"/>
      <c r="AA267" s="350"/>
      <c r="AB267" s="350"/>
      <c r="AC267" s="350"/>
      <c r="AD267" s="350"/>
    </row>
    <row r="268" spans="1:30" s="159" customFormat="1">
      <c r="B268" s="191" t="s">
        <v>1001</v>
      </c>
      <c r="C268" s="176"/>
      <c r="D268" s="148"/>
      <c r="E268" s="162"/>
      <c r="F268" s="162"/>
      <c r="G268" s="162"/>
      <c r="H268" s="148"/>
      <c r="I268" s="162"/>
      <c r="J268" s="162"/>
      <c r="K268" s="164"/>
      <c r="W268" s="109"/>
      <c r="X268" s="109"/>
      <c r="Y268" s="350"/>
      <c r="Z268" s="350"/>
      <c r="AA268" s="350"/>
      <c r="AB268" s="350"/>
      <c r="AC268" s="350"/>
      <c r="AD268" s="350"/>
    </row>
    <row r="269" spans="1:30" s="159" customFormat="1">
      <c r="B269" s="191" t="s">
        <v>1002</v>
      </c>
      <c r="C269" s="176"/>
      <c r="D269" s="148"/>
      <c r="E269" s="162"/>
      <c r="F269" s="162"/>
      <c r="G269" s="162"/>
      <c r="H269" s="148"/>
      <c r="I269" s="162"/>
      <c r="J269" s="162"/>
      <c r="K269" s="164"/>
      <c r="W269" s="109"/>
      <c r="X269" s="109"/>
      <c r="Y269" s="350"/>
      <c r="Z269" s="350"/>
      <c r="AA269" s="350"/>
      <c r="AB269" s="350"/>
      <c r="AC269" s="350"/>
      <c r="AD269" s="350"/>
    </row>
    <row r="270" spans="1:30" s="159" customFormat="1">
      <c r="B270" s="191" t="s">
        <v>765</v>
      </c>
      <c r="C270" s="176"/>
      <c r="D270" s="148"/>
      <c r="E270" s="162"/>
      <c r="F270" s="162"/>
      <c r="G270" s="162"/>
      <c r="H270" s="148"/>
      <c r="I270" s="162"/>
      <c r="J270" s="162"/>
      <c r="K270" s="164"/>
      <c r="W270" s="109"/>
      <c r="X270" s="109"/>
      <c r="Y270" s="350"/>
      <c r="Z270" s="350"/>
      <c r="AA270" s="350"/>
      <c r="AB270" s="350"/>
      <c r="AC270" s="350"/>
      <c r="AD270" s="350"/>
    </row>
    <row r="271" spans="1:30" s="159" customFormat="1">
      <c r="B271" s="191" t="s">
        <v>766</v>
      </c>
      <c r="C271" s="176"/>
      <c r="D271" s="149"/>
      <c r="E271" s="150"/>
      <c r="F271" s="150"/>
      <c r="G271" s="150"/>
      <c r="H271" s="149"/>
      <c r="I271" s="150"/>
      <c r="J271" s="150"/>
      <c r="K271" s="177"/>
      <c r="W271" s="109"/>
      <c r="X271" s="109"/>
      <c r="Y271" s="350"/>
      <c r="Z271" s="350"/>
      <c r="AA271" s="350"/>
      <c r="AB271" s="350"/>
      <c r="AC271" s="350"/>
      <c r="AD271" s="350"/>
    </row>
    <row r="272" spans="1:30" s="159" customFormat="1">
      <c r="B272" s="191" t="s">
        <v>1003</v>
      </c>
      <c r="C272" s="176"/>
      <c r="D272" s="149"/>
      <c r="E272" s="150"/>
      <c r="F272" s="150"/>
      <c r="G272" s="150"/>
      <c r="H272" s="149"/>
      <c r="I272" s="150"/>
      <c r="J272" s="150"/>
      <c r="K272" s="177"/>
      <c r="W272" s="109"/>
      <c r="X272" s="109"/>
      <c r="Y272" s="350"/>
      <c r="Z272" s="350"/>
      <c r="AA272" s="350"/>
      <c r="AB272" s="350"/>
      <c r="AC272" s="350"/>
      <c r="AD272" s="350"/>
    </row>
    <row r="273" spans="1:30" s="159" customFormat="1">
      <c r="B273" s="191" t="s">
        <v>1004</v>
      </c>
      <c r="C273" s="176"/>
      <c r="D273" s="149"/>
      <c r="E273" s="150"/>
      <c r="F273" s="150"/>
      <c r="G273" s="150"/>
      <c r="H273" s="149"/>
      <c r="I273" s="150"/>
      <c r="J273" s="150"/>
      <c r="K273" s="177"/>
      <c r="W273" s="109"/>
      <c r="X273" s="109"/>
      <c r="Y273" s="350"/>
      <c r="Z273" s="350"/>
      <c r="AA273" s="350"/>
      <c r="AB273" s="350"/>
      <c r="AC273" s="350"/>
      <c r="AD273" s="350"/>
    </row>
    <row r="274" spans="1:30" s="159" customFormat="1">
      <c r="B274" s="191" t="s">
        <v>1005</v>
      </c>
      <c r="C274" s="176"/>
      <c r="D274" s="149"/>
      <c r="E274" s="150"/>
      <c r="F274" s="150"/>
      <c r="G274" s="150"/>
      <c r="H274" s="149"/>
      <c r="I274" s="150"/>
      <c r="J274" s="150"/>
      <c r="K274" s="177"/>
      <c r="W274" s="109"/>
      <c r="X274" s="109"/>
      <c r="Y274" s="350"/>
      <c r="Z274" s="350"/>
      <c r="AA274" s="350"/>
      <c r="AB274" s="350"/>
      <c r="AC274" s="350"/>
      <c r="AD274" s="350"/>
    </row>
    <row r="275" spans="1:30" s="159" customFormat="1">
      <c r="B275" s="191" t="s">
        <v>1006</v>
      </c>
      <c r="C275" s="176"/>
      <c r="D275" s="149"/>
      <c r="E275" s="150"/>
      <c r="F275" s="150"/>
      <c r="G275" s="150"/>
      <c r="H275" s="149"/>
      <c r="I275" s="150"/>
      <c r="J275" s="150"/>
      <c r="K275" s="177"/>
      <c r="W275" s="109"/>
      <c r="X275" s="109"/>
      <c r="Y275" s="350"/>
      <c r="Z275" s="350"/>
      <c r="AA275" s="350"/>
      <c r="AB275" s="350"/>
      <c r="AC275" s="350"/>
      <c r="AD275" s="350"/>
    </row>
    <row r="276" spans="1:30" s="159" customFormat="1">
      <c r="B276" s="191" t="s">
        <v>1007</v>
      </c>
      <c r="C276" s="176"/>
      <c r="D276" s="149"/>
      <c r="E276" s="150"/>
      <c r="F276" s="150"/>
      <c r="G276" s="150"/>
      <c r="H276" s="149"/>
      <c r="I276" s="150"/>
      <c r="J276" s="150"/>
      <c r="K276" s="177"/>
      <c r="W276" s="109"/>
      <c r="X276" s="109"/>
      <c r="Y276" s="350"/>
      <c r="Z276" s="350"/>
      <c r="AA276" s="350"/>
      <c r="AB276" s="350"/>
      <c r="AC276" s="350"/>
      <c r="AD276" s="350"/>
    </row>
    <row r="277" spans="1:30" s="159" customFormat="1">
      <c r="B277" s="191" t="s">
        <v>1008</v>
      </c>
      <c r="C277" s="176"/>
      <c r="D277" s="149"/>
      <c r="E277" s="150"/>
      <c r="F277" s="150"/>
      <c r="G277" s="150"/>
      <c r="H277" s="149"/>
      <c r="I277" s="150"/>
      <c r="J277" s="150"/>
      <c r="K277" s="177"/>
      <c r="W277" s="109"/>
      <c r="X277" s="109"/>
      <c r="Y277" s="350"/>
      <c r="Z277" s="350"/>
      <c r="AA277" s="350"/>
      <c r="AB277" s="350"/>
      <c r="AC277" s="350"/>
      <c r="AD277" s="350"/>
    </row>
    <row r="278" spans="1:30" s="159" customFormat="1">
      <c r="B278" s="191" t="s">
        <v>1009</v>
      </c>
      <c r="C278" s="176"/>
      <c r="D278" s="149"/>
      <c r="E278" s="150"/>
      <c r="F278" s="150"/>
      <c r="G278" s="150"/>
      <c r="H278" s="149"/>
      <c r="I278" s="150"/>
      <c r="J278" s="150"/>
      <c r="K278" s="177"/>
      <c r="W278" s="109"/>
      <c r="X278" s="109"/>
      <c r="Y278" s="350"/>
      <c r="Z278" s="350"/>
      <c r="AA278" s="350"/>
      <c r="AB278" s="350"/>
      <c r="AC278" s="350"/>
      <c r="AD278" s="350"/>
    </row>
    <row r="279" spans="1:30" s="159" customFormat="1">
      <c r="B279" s="191" t="s">
        <v>1010</v>
      </c>
      <c r="C279" s="176"/>
      <c r="D279" s="149"/>
      <c r="E279" s="150"/>
      <c r="F279" s="150"/>
      <c r="G279" s="150"/>
      <c r="H279" s="149"/>
      <c r="I279" s="150"/>
      <c r="J279" s="150"/>
      <c r="K279" s="177"/>
      <c r="W279" s="109"/>
      <c r="X279" s="109"/>
      <c r="Y279" s="350"/>
      <c r="Z279" s="350"/>
      <c r="AA279" s="350"/>
      <c r="AB279" s="350"/>
      <c r="AC279" s="350"/>
      <c r="AD279" s="350"/>
    </row>
    <row r="280" spans="1:30" s="159" customFormat="1" ht="14.4" thickBot="1">
      <c r="B280" s="173" t="s">
        <v>1011</v>
      </c>
      <c r="C280" s="178"/>
      <c r="D280" s="181"/>
      <c r="E280" s="182"/>
      <c r="F280" s="182"/>
      <c r="G280" s="182"/>
      <c r="H280" s="181"/>
      <c r="I280" s="182"/>
      <c r="J280" s="182"/>
      <c r="K280" s="183"/>
      <c r="W280" s="109"/>
      <c r="X280" s="109"/>
      <c r="Y280" s="350"/>
      <c r="Z280" s="350"/>
      <c r="AA280" s="350"/>
      <c r="AB280" s="350"/>
      <c r="AC280" s="350"/>
      <c r="AD280" s="350"/>
    </row>
    <row r="281" spans="1:30" s="159" customFormat="1">
      <c r="A281" s="159">
        <v>15</v>
      </c>
      <c r="B281" s="189" t="s">
        <v>1012</v>
      </c>
      <c r="C281" s="174">
        <v>1</v>
      </c>
      <c r="D281" s="127">
        <v>559611</v>
      </c>
      <c r="E281" s="128">
        <v>419709</v>
      </c>
      <c r="F281" s="128">
        <v>349758</v>
      </c>
      <c r="G281" s="129">
        <v>209853</v>
      </c>
      <c r="H281" s="127">
        <v>591510</v>
      </c>
      <c r="I281" s="128">
        <v>443634</v>
      </c>
      <c r="J281" s="128">
        <v>369693</v>
      </c>
      <c r="K281" s="130">
        <v>221817</v>
      </c>
      <c r="L281" s="155"/>
      <c r="W281" s="109"/>
      <c r="X281" s="109"/>
      <c r="Y281" s="350"/>
      <c r="Z281" s="350"/>
      <c r="AA281" s="350"/>
      <c r="AB281" s="350"/>
      <c r="AC281" s="350"/>
      <c r="AD281" s="350"/>
    </row>
    <row r="282" spans="1:30" s="159" customFormat="1">
      <c r="B282" s="191" t="s">
        <v>1013</v>
      </c>
      <c r="C282" s="175">
        <v>2</v>
      </c>
      <c r="D282" s="133">
        <v>567999</v>
      </c>
      <c r="E282" s="134">
        <v>426000</v>
      </c>
      <c r="F282" s="134">
        <v>354999</v>
      </c>
      <c r="G282" s="135">
        <v>213000</v>
      </c>
      <c r="H282" s="133">
        <v>600375</v>
      </c>
      <c r="I282" s="134">
        <v>450282</v>
      </c>
      <c r="J282" s="134">
        <v>375234</v>
      </c>
      <c r="K282" s="136">
        <v>225141</v>
      </c>
      <c r="L282" s="155"/>
      <c r="W282" s="109"/>
      <c r="X282" s="109"/>
      <c r="Y282" s="350"/>
      <c r="Z282" s="350"/>
      <c r="AA282" s="350"/>
      <c r="AB282" s="350"/>
      <c r="AC282" s="350"/>
      <c r="AD282" s="350"/>
    </row>
    <row r="283" spans="1:30" s="159" customFormat="1">
      <c r="B283" s="191" t="s">
        <v>1014</v>
      </c>
      <c r="C283" s="175">
        <v>3</v>
      </c>
      <c r="D283" s="133">
        <v>576513</v>
      </c>
      <c r="E283" s="134">
        <v>432384</v>
      </c>
      <c r="F283" s="134">
        <v>360321</v>
      </c>
      <c r="G283" s="135">
        <v>216192</v>
      </c>
      <c r="H283" s="133">
        <v>609375</v>
      </c>
      <c r="I283" s="134">
        <v>457032</v>
      </c>
      <c r="J283" s="134">
        <v>380859</v>
      </c>
      <c r="K283" s="136">
        <v>228516</v>
      </c>
      <c r="L283" s="155"/>
      <c r="W283" s="109"/>
      <c r="X283" s="109"/>
      <c r="Y283" s="350"/>
      <c r="Z283" s="350"/>
      <c r="AA283" s="350"/>
      <c r="AB283" s="350"/>
      <c r="AC283" s="350"/>
      <c r="AD283" s="350"/>
    </row>
    <row r="284" spans="1:30" s="159" customFormat="1">
      <c r="B284" s="191" t="s">
        <v>1015</v>
      </c>
      <c r="C284" s="175">
        <v>4</v>
      </c>
      <c r="D284" s="133">
        <v>585168</v>
      </c>
      <c r="E284" s="134">
        <v>438876</v>
      </c>
      <c r="F284" s="134">
        <v>365730</v>
      </c>
      <c r="G284" s="135">
        <v>219438</v>
      </c>
      <c r="H284" s="133">
        <v>618522</v>
      </c>
      <c r="I284" s="134">
        <v>463893</v>
      </c>
      <c r="J284" s="134">
        <v>386577</v>
      </c>
      <c r="K284" s="136">
        <v>231945</v>
      </c>
      <c r="L284" s="155"/>
      <c r="W284" s="109"/>
      <c r="X284" s="109"/>
      <c r="Y284" s="350"/>
      <c r="Z284" s="350"/>
      <c r="AA284" s="350"/>
      <c r="AB284" s="350"/>
      <c r="AC284" s="350"/>
      <c r="AD284" s="350"/>
    </row>
    <row r="285" spans="1:30" s="159" customFormat="1">
      <c r="B285" s="191" t="s">
        <v>1016</v>
      </c>
      <c r="C285" s="175">
        <v>5</v>
      </c>
      <c r="D285" s="133">
        <v>593940</v>
      </c>
      <c r="E285" s="134">
        <v>445455</v>
      </c>
      <c r="F285" s="134">
        <v>371214</v>
      </c>
      <c r="G285" s="135">
        <v>222729</v>
      </c>
      <c r="H285" s="133">
        <v>627795</v>
      </c>
      <c r="I285" s="134">
        <v>470847</v>
      </c>
      <c r="J285" s="134">
        <v>392373</v>
      </c>
      <c r="K285" s="136">
        <v>235422</v>
      </c>
      <c r="L285" s="155"/>
      <c r="W285" s="109"/>
      <c r="X285" s="109"/>
      <c r="Y285" s="350"/>
      <c r="Z285" s="350"/>
      <c r="AA285" s="350"/>
      <c r="AB285" s="350"/>
      <c r="AC285" s="350"/>
      <c r="AD285" s="350"/>
    </row>
    <row r="286" spans="1:30" s="159" customFormat="1">
      <c r="B286" s="191" t="s">
        <v>1017</v>
      </c>
      <c r="C286" s="175">
        <v>6</v>
      </c>
      <c r="D286" s="133">
        <v>602856</v>
      </c>
      <c r="E286" s="134">
        <v>452142</v>
      </c>
      <c r="F286" s="134">
        <v>376785</v>
      </c>
      <c r="G286" s="135">
        <v>226071</v>
      </c>
      <c r="H286" s="133">
        <v>637218</v>
      </c>
      <c r="I286" s="134">
        <v>477915</v>
      </c>
      <c r="J286" s="134">
        <v>398262</v>
      </c>
      <c r="K286" s="136">
        <v>238956</v>
      </c>
      <c r="L286" s="155"/>
      <c r="W286" s="109"/>
      <c r="X286" s="109"/>
      <c r="Y286" s="350"/>
      <c r="Z286" s="350"/>
      <c r="AA286" s="350"/>
      <c r="AB286" s="350"/>
      <c r="AC286" s="350"/>
      <c r="AD286" s="350"/>
    </row>
    <row r="287" spans="1:30" s="159" customFormat="1">
      <c r="B287" s="191" t="s">
        <v>1018</v>
      </c>
      <c r="C287" s="175">
        <v>7</v>
      </c>
      <c r="D287" s="133">
        <v>611901</v>
      </c>
      <c r="E287" s="134">
        <v>458925</v>
      </c>
      <c r="F287" s="134">
        <v>382437</v>
      </c>
      <c r="G287" s="135">
        <v>229464</v>
      </c>
      <c r="H287" s="133">
        <v>646779</v>
      </c>
      <c r="I287" s="134">
        <v>485085</v>
      </c>
      <c r="J287" s="134">
        <v>404238</v>
      </c>
      <c r="K287" s="136">
        <v>242541</v>
      </c>
      <c r="L287" s="155"/>
      <c r="W287" s="109"/>
      <c r="X287" s="109"/>
      <c r="Y287" s="350"/>
      <c r="Z287" s="350"/>
      <c r="AA287" s="350"/>
      <c r="AB287" s="350"/>
      <c r="AC287" s="350"/>
      <c r="AD287" s="350"/>
    </row>
    <row r="288" spans="1:30" s="159" customFormat="1">
      <c r="B288" s="191" t="s">
        <v>1019</v>
      </c>
      <c r="C288" s="175">
        <v>8</v>
      </c>
      <c r="D288" s="133">
        <v>621069</v>
      </c>
      <c r="E288" s="134">
        <v>465801</v>
      </c>
      <c r="F288" s="134">
        <v>388167</v>
      </c>
      <c r="G288" s="135">
        <v>232902</v>
      </c>
      <c r="H288" s="133">
        <v>656469</v>
      </c>
      <c r="I288" s="134">
        <v>492351</v>
      </c>
      <c r="J288" s="134">
        <v>410292</v>
      </c>
      <c r="K288" s="136">
        <v>246177</v>
      </c>
      <c r="L288" s="155"/>
      <c r="W288" s="109"/>
      <c r="X288" s="109"/>
      <c r="Y288" s="350"/>
      <c r="Z288" s="350"/>
      <c r="AA288" s="350"/>
      <c r="AB288" s="350"/>
      <c r="AC288" s="350"/>
      <c r="AD288" s="350"/>
    </row>
    <row r="289" spans="2:30" s="159" customFormat="1">
      <c r="B289" s="191" t="s">
        <v>1020</v>
      </c>
      <c r="C289" s="176"/>
      <c r="D289" s="187"/>
      <c r="E289" s="162"/>
      <c r="F289" s="162"/>
      <c r="G289" s="162"/>
      <c r="H289" s="163"/>
      <c r="I289" s="162"/>
      <c r="J289" s="162"/>
      <c r="K289" s="164"/>
      <c r="W289" s="109"/>
      <c r="X289" s="109"/>
      <c r="Y289" s="350"/>
      <c r="Z289" s="350"/>
      <c r="AA289" s="350"/>
      <c r="AB289" s="350"/>
      <c r="AC289" s="350"/>
      <c r="AD289" s="350"/>
    </row>
    <row r="290" spans="2:30" s="159" customFormat="1">
      <c r="B290" s="191" t="s">
        <v>1021</v>
      </c>
      <c r="C290" s="176"/>
      <c r="D290" s="187"/>
      <c r="E290" s="162"/>
      <c r="F290" s="162"/>
      <c r="G290" s="162"/>
      <c r="H290" s="163"/>
      <c r="I290" s="162"/>
      <c r="J290" s="162"/>
      <c r="K290" s="164"/>
      <c r="W290" s="109"/>
      <c r="X290" s="109"/>
      <c r="Y290" s="350"/>
      <c r="Z290" s="350"/>
      <c r="AA290" s="350"/>
      <c r="AB290" s="350"/>
      <c r="AC290" s="350"/>
      <c r="AD290" s="350"/>
    </row>
    <row r="291" spans="2:30" s="159" customFormat="1">
      <c r="B291" s="191" t="s">
        <v>1022</v>
      </c>
      <c r="C291" s="176"/>
      <c r="D291" s="187"/>
      <c r="E291" s="162"/>
      <c r="F291" s="162"/>
      <c r="G291" s="162"/>
      <c r="H291" s="163"/>
      <c r="I291" s="162"/>
      <c r="J291" s="162"/>
      <c r="K291" s="164"/>
      <c r="W291" s="109"/>
      <c r="X291" s="109"/>
      <c r="Y291" s="350"/>
      <c r="Z291" s="350"/>
      <c r="AA291" s="350"/>
      <c r="AB291" s="350"/>
      <c r="AC291" s="350"/>
      <c r="AD291" s="350"/>
    </row>
    <row r="292" spans="2:30" s="159" customFormat="1">
      <c r="B292" s="191" t="s">
        <v>1023</v>
      </c>
      <c r="C292" s="176"/>
      <c r="D292" s="187"/>
      <c r="E292" s="162"/>
      <c r="F292" s="162"/>
      <c r="G292" s="162"/>
      <c r="H292" s="163"/>
      <c r="I292" s="162"/>
      <c r="J292" s="162"/>
      <c r="K292" s="164"/>
      <c r="W292" s="109"/>
      <c r="X292" s="109"/>
      <c r="Y292" s="350"/>
      <c r="Z292" s="350"/>
      <c r="AA292" s="350"/>
      <c r="AB292" s="350"/>
      <c r="AC292" s="350"/>
      <c r="AD292" s="350"/>
    </row>
    <row r="293" spans="2:30" s="159" customFormat="1">
      <c r="B293" s="191" t="s">
        <v>1024</v>
      </c>
      <c r="C293" s="176"/>
      <c r="D293" s="187"/>
      <c r="E293" s="162"/>
      <c r="F293" s="162"/>
      <c r="G293" s="162"/>
      <c r="H293" s="163"/>
      <c r="I293" s="162"/>
      <c r="J293" s="162"/>
      <c r="K293" s="164"/>
      <c r="W293" s="109"/>
      <c r="X293" s="109"/>
      <c r="Y293" s="350"/>
      <c r="Z293" s="350"/>
      <c r="AA293" s="350"/>
      <c r="AB293" s="350"/>
      <c r="AC293" s="350"/>
      <c r="AD293" s="350"/>
    </row>
    <row r="294" spans="2:30" s="159" customFormat="1">
      <c r="B294" s="191" t="s">
        <v>767</v>
      </c>
      <c r="C294" s="176"/>
      <c r="D294" s="187"/>
      <c r="E294" s="162"/>
      <c r="F294" s="162"/>
      <c r="G294" s="162"/>
      <c r="H294" s="163"/>
      <c r="I294" s="162"/>
      <c r="J294" s="162"/>
      <c r="K294" s="164"/>
      <c r="W294" s="109"/>
      <c r="X294" s="109"/>
      <c r="Y294" s="350"/>
      <c r="Z294" s="350"/>
      <c r="AA294" s="350"/>
      <c r="AB294" s="350"/>
      <c r="AC294" s="350"/>
      <c r="AD294" s="350"/>
    </row>
    <row r="295" spans="2:30" s="159" customFormat="1">
      <c r="B295" s="191" t="s">
        <v>768</v>
      </c>
      <c r="C295" s="176"/>
      <c r="D295" s="187"/>
      <c r="E295" s="162"/>
      <c r="F295" s="162"/>
      <c r="G295" s="162"/>
      <c r="H295" s="163"/>
      <c r="I295" s="162"/>
      <c r="J295" s="162"/>
      <c r="K295" s="164"/>
      <c r="W295" s="109"/>
      <c r="X295" s="109"/>
      <c r="Y295" s="350"/>
      <c r="Z295" s="350"/>
      <c r="AA295" s="350"/>
      <c r="AB295" s="350"/>
      <c r="AC295" s="350"/>
      <c r="AD295" s="350"/>
    </row>
    <row r="296" spans="2:30" s="159" customFormat="1">
      <c r="B296" s="191" t="s">
        <v>1025</v>
      </c>
      <c r="C296" s="176"/>
      <c r="D296" s="187"/>
      <c r="E296" s="162"/>
      <c r="F296" s="162"/>
      <c r="G296" s="162"/>
      <c r="H296" s="163"/>
      <c r="I296" s="162"/>
      <c r="J296" s="162"/>
      <c r="K296" s="164"/>
      <c r="W296" s="109"/>
      <c r="X296" s="109"/>
      <c r="Y296" s="350"/>
      <c r="Z296" s="350"/>
      <c r="AA296" s="350"/>
      <c r="AB296" s="350"/>
      <c r="AC296" s="350"/>
      <c r="AD296" s="350"/>
    </row>
    <row r="297" spans="2:30" s="159" customFormat="1">
      <c r="B297" s="191" t="s">
        <v>1026</v>
      </c>
      <c r="C297" s="176"/>
      <c r="D297" s="187"/>
      <c r="E297" s="162"/>
      <c r="F297" s="162"/>
      <c r="G297" s="162"/>
      <c r="H297" s="163"/>
      <c r="I297" s="162"/>
      <c r="J297" s="162"/>
      <c r="K297" s="164"/>
      <c r="W297" s="109"/>
      <c r="X297" s="109"/>
      <c r="Y297" s="350"/>
      <c r="Z297" s="350"/>
      <c r="AA297" s="350"/>
      <c r="AB297" s="350"/>
      <c r="AC297" s="350"/>
      <c r="AD297" s="350"/>
    </row>
    <row r="298" spans="2:30" s="159" customFormat="1">
      <c r="B298" s="191" t="s">
        <v>1027</v>
      </c>
      <c r="C298" s="176"/>
      <c r="D298" s="187"/>
      <c r="E298" s="162"/>
      <c r="F298" s="162"/>
      <c r="G298" s="162"/>
      <c r="H298" s="163"/>
      <c r="I298" s="162"/>
      <c r="J298" s="162"/>
      <c r="K298" s="164"/>
      <c r="W298" s="109"/>
      <c r="X298" s="109"/>
      <c r="Y298" s="109"/>
      <c r="Z298" s="109"/>
      <c r="AA298" s="109"/>
      <c r="AB298" s="109"/>
      <c r="AC298" s="109"/>
      <c r="AD298" s="109"/>
    </row>
    <row r="299" spans="2:30" s="159" customFormat="1">
      <c r="B299" s="191" t="s">
        <v>1028</v>
      </c>
      <c r="C299" s="176"/>
      <c r="D299" s="187"/>
      <c r="E299" s="162"/>
      <c r="F299" s="162"/>
      <c r="G299" s="162"/>
      <c r="H299" s="163"/>
      <c r="I299" s="162"/>
      <c r="J299" s="162"/>
      <c r="K299" s="164"/>
      <c r="W299" s="109"/>
      <c r="X299" s="109"/>
      <c r="Y299" s="109"/>
      <c r="Z299" s="109"/>
      <c r="AA299" s="109"/>
      <c r="AB299" s="109"/>
      <c r="AC299" s="109"/>
      <c r="AD299" s="109"/>
    </row>
    <row r="300" spans="2:30" s="159" customFormat="1">
      <c r="B300" s="191" t="s">
        <v>1029</v>
      </c>
      <c r="C300" s="176"/>
      <c r="D300" s="187"/>
      <c r="E300" s="162"/>
      <c r="F300" s="162"/>
      <c r="G300" s="162"/>
      <c r="H300" s="163"/>
      <c r="I300" s="162"/>
      <c r="J300" s="162"/>
      <c r="K300" s="164"/>
      <c r="W300" s="109"/>
      <c r="X300" s="109"/>
      <c r="Y300" s="109"/>
      <c r="Z300" s="109"/>
      <c r="AA300" s="109"/>
      <c r="AB300" s="109"/>
      <c r="AC300" s="109"/>
      <c r="AD300" s="109"/>
    </row>
    <row r="301" spans="2:30" s="159" customFormat="1">
      <c r="B301" s="191" t="s">
        <v>1030</v>
      </c>
      <c r="C301" s="176"/>
      <c r="D301" s="187"/>
      <c r="E301" s="162"/>
      <c r="F301" s="162"/>
      <c r="G301" s="162"/>
      <c r="H301" s="163"/>
      <c r="I301" s="162"/>
      <c r="J301" s="162"/>
      <c r="K301" s="164"/>
      <c r="W301" s="109"/>
      <c r="X301" s="109"/>
      <c r="Y301" s="231" t="s">
        <v>1131</v>
      </c>
      <c r="Z301" s="350"/>
      <c r="AA301" s="350"/>
      <c r="AB301" s="350"/>
      <c r="AC301" s="350"/>
      <c r="AD301" s="350"/>
    </row>
    <row r="302" spans="2:30" s="159" customFormat="1" ht="14.4" thickBot="1">
      <c r="B302" s="191" t="s">
        <v>1031</v>
      </c>
      <c r="C302" s="176"/>
      <c r="D302" s="187"/>
      <c r="E302" s="162"/>
      <c r="F302" s="162"/>
      <c r="G302" s="162"/>
      <c r="H302" s="163"/>
      <c r="I302" s="162"/>
      <c r="J302" s="162"/>
      <c r="K302" s="164"/>
      <c r="W302" s="109"/>
      <c r="X302" s="109"/>
      <c r="Y302" s="350"/>
      <c r="Z302" s="350"/>
      <c r="AA302" s="350"/>
      <c r="AB302" s="350"/>
      <c r="AC302" s="350"/>
      <c r="AD302" s="350"/>
    </row>
    <row r="303" spans="2:30" s="159" customFormat="1" ht="27.6">
      <c r="B303" s="191" t="s">
        <v>1032</v>
      </c>
      <c r="C303" s="176"/>
      <c r="D303" s="187"/>
      <c r="E303" s="162"/>
      <c r="F303" s="162"/>
      <c r="G303" s="162"/>
      <c r="H303" s="163"/>
      <c r="I303" s="162"/>
      <c r="J303" s="162"/>
      <c r="K303" s="164"/>
      <c r="W303" s="109"/>
      <c r="X303" s="109"/>
      <c r="Y303" s="357" t="s">
        <v>1206</v>
      </c>
      <c r="Z303" s="359" t="s">
        <v>1206</v>
      </c>
      <c r="AA303" s="359" t="s">
        <v>1206</v>
      </c>
      <c r="AB303" s="359" t="s">
        <v>1207</v>
      </c>
      <c r="AC303" s="366" t="s">
        <v>1208</v>
      </c>
      <c r="AD303" s="354" t="str">
        <f>"Total annual cost ("&amp;currency_enter&amp;")"</f>
        <v>Total annual cost ()</v>
      </c>
    </row>
    <row r="304" spans="2:30" s="159" customFormat="1" ht="14.4" thickBot="1">
      <c r="B304" s="191" t="s">
        <v>1033</v>
      </c>
      <c r="C304" s="178"/>
      <c r="D304" s="188"/>
      <c r="E304" s="167"/>
      <c r="F304" s="167"/>
      <c r="G304" s="167"/>
      <c r="H304" s="168"/>
      <c r="I304" s="167"/>
      <c r="J304" s="167"/>
      <c r="K304" s="179"/>
      <c r="W304" s="109"/>
      <c r="X304" s="109"/>
      <c r="Y304" s="358" t="s">
        <v>1203</v>
      </c>
      <c r="Z304" s="361" t="s">
        <v>1204</v>
      </c>
      <c r="AA304" s="360" t="s">
        <v>1205</v>
      </c>
      <c r="AB304" s="360"/>
      <c r="AC304" s="355"/>
      <c r="AD304" s="356">
        <v>2019</v>
      </c>
    </row>
    <row r="305" spans="1:30" s="159" customFormat="1" ht="14.4" thickBot="1">
      <c r="A305" s="159">
        <v>16</v>
      </c>
      <c r="B305" s="1138" t="s">
        <v>1034</v>
      </c>
      <c r="C305" s="190"/>
      <c r="D305" s="1140" t="s">
        <v>1035</v>
      </c>
      <c r="E305" s="1141"/>
      <c r="F305" s="1141"/>
      <c r="G305" s="1142"/>
      <c r="H305" s="1140" t="s">
        <v>1035</v>
      </c>
      <c r="I305" s="1141"/>
      <c r="J305" s="1141"/>
      <c r="K305" s="1142"/>
      <c r="W305" s="109"/>
      <c r="X305" s="109"/>
      <c r="Y305" s="350"/>
      <c r="Z305" s="350"/>
      <c r="AA305" s="350"/>
      <c r="AB305" s="350"/>
      <c r="AC305" s="350"/>
      <c r="AD305" s="350"/>
    </row>
    <row r="306" spans="1:30" s="159" customFormat="1">
      <c r="B306" s="1139"/>
      <c r="C306" s="170">
        <v>1</v>
      </c>
      <c r="D306" s="143">
        <v>815169</v>
      </c>
      <c r="E306" s="144">
        <v>611376</v>
      </c>
      <c r="F306" s="144">
        <v>509481</v>
      </c>
      <c r="G306" s="192">
        <v>305688</v>
      </c>
      <c r="H306" s="127">
        <v>857559</v>
      </c>
      <c r="I306" s="128">
        <v>643170</v>
      </c>
      <c r="J306" s="128">
        <v>535974</v>
      </c>
      <c r="K306" s="130">
        <v>321585</v>
      </c>
      <c r="L306" s="155"/>
      <c r="W306" s="352" t="s">
        <v>1194</v>
      </c>
      <c r="X306" s="109"/>
      <c r="Y306" s="365">
        <f t="shared" ref="Y306:Y312" si="21">MEDIAN($H$306:$H$313)</f>
        <v>903466.5</v>
      </c>
      <c r="Z306" s="365">
        <f t="shared" ref="Z306:Z312" si="22">MEDIAN($H$330:$H$339)</f>
        <v>1048495.5</v>
      </c>
      <c r="AA306" s="365"/>
      <c r="AB306" s="365">
        <f>AVERAGE(Y306:AA306)</f>
        <v>975981</v>
      </c>
      <c r="AC306" s="365">
        <f t="shared" ref="AC306:AC312" si="23">AB306*35%</f>
        <v>341593.35</v>
      </c>
      <c r="AD306" s="365">
        <f>SUM(AB306:AC306)</f>
        <v>1317574.3500000001</v>
      </c>
    </row>
    <row r="307" spans="1:30" s="159" customFormat="1">
      <c r="B307" s="191" t="s">
        <v>1036</v>
      </c>
      <c r="C307" s="172">
        <v>2</v>
      </c>
      <c r="D307" s="133">
        <v>827400</v>
      </c>
      <c r="E307" s="134">
        <v>620550</v>
      </c>
      <c r="F307" s="134">
        <v>517125</v>
      </c>
      <c r="G307" s="135">
        <v>310275</v>
      </c>
      <c r="H307" s="133">
        <v>870426</v>
      </c>
      <c r="I307" s="134">
        <v>652821</v>
      </c>
      <c r="J307" s="134">
        <v>544017</v>
      </c>
      <c r="K307" s="136">
        <v>326409</v>
      </c>
      <c r="L307" s="155"/>
      <c r="W307" s="352" t="s">
        <v>1195</v>
      </c>
      <c r="X307" s="109"/>
      <c r="Y307" s="365">
        <f t="shared" si="21"/>
        <v>903466.5</v>
      </c>
      <c r="Z307" s="365">
        <f t="shared" si="22"/>
        <v>1048495.5</v>
      </c>
      <c r="AA307" s="365"/>
      <c r="AB307" s="365">
        <f t="shared" ref="AB307:AB312" si="24">AVERAGE(Y307:AA307)</f>
        <v>975981</v>
      </c>
      <c r="AC307" s="365">
        <f t="shared" si="23"/>
        <v>341593.35</v>
      </c>
      <c r="AD307" s="365">
        <f t="shared" ref="AD307:AD312" si="25">SUM(AB307:AC307)</f>
        <v>1317574.3500000001</v>
      </c>
    </row>
    <row r="308" spans="1:30" s="159" customFormat="1">
      <c r="B308" s="191" t="s">
        <v>1037</v>
      </c>
      <c r="C308" s="172">
        <v>3</v>
      </c>
      <c r="D308" s="133">
        <v>839817</v>
      </c>
      <c r="E308" s="134">
        <v>629862</v>
      </c>
      <c r="F308" s="134">
        <v>524886</v>
      </c>
      <c r="G308" s="135">
        <v>314931</v>
      </c>
      <c r="H308" s="133">
        <v>883488</v>
      </c>
      <c r="I308" s="134">
        <v>662616</v>
      </c>
      <c r="J308" s="134">
        <v>552180</v>
      </c>
      <c r="K308" s="136">
        <v>331308</v>
      </c>
      <c r="L308" s="155"/>
      <c r="W308" s="352" t="s">
        <v>1196</v>
      </c>
      <c r="X308" s="109"/>
      <c r="Y308" s="365">
        <f t="shared" si="21"/>
        <v>903466.5</v>
      </c>
      <c r="Z308" s="365">
        <f t="shared" si="22"/>
        <v>1048495.5</v>
      </c>
      <c r="AA308" s="365"/>
      <c r="AB308" s="365">
        <f t="shared" si="24"/>
        <v>975981</v>
      </c>
      <c r="AC308" s="365">
        <f t="shared" si="23"/>
        <v>341593.35</v>
      </c>
      <c r="AD308" s="365">
        <f t="shared" si="25"/>
        <v>1317574.3500000001</v>
      </c>
    </row>
    <row r="309" spans="1:30" s="159" customFormat="1">
      <c r="B309" s="191" t="s">
        <v>1038</v>
      </c>
      <c r="C309" s="172">
        <v>4</v>
      </c>
      <c r="D309" s="133">
        <v>852417</v>
      </c>
      <c r="E309" s="134">
        <v>639312</v>
      </c>
      <c r="F309" s="134">
        <v>532761</v>
      </c>
      <c r="G309" s="135">
        <v>319656</v>
      </c>
      <c r="H309" s="133">
        <v>896742</v>
      </c>
      <c r="I309" s="134">
        <v>672558</v>
      </c>
      <c r="J309" s="134">
        <v>560463</v>
      </c>
      <c r="K309" s="136">
        <v>336279</v>
      </c>
      <c r="L309" s="155"/>
      <c r="W309" s="352" t="s">
        <v>1197</v>
      </c>
      <c r="X309" s="109"/>
      <c r="Y309" s="365">
        <f t="shared" si="21"/>
        <v>903466.5</v>
      </c>
      <c r="Z309" s="365">
        <f t="shared" si="22"/>
        <v>1048495.5</v>
      </c>
      <c r="AA309" s="365"/>
      <c r="AB309" s="365">
        <f t="shared" si="24"/>
        <v>975981</v>
      </c>
      <c r="AC309" s="365">
        <f t="shared" si="23"/>
        <v>341593.35</v>
      </c>
      <c r="AD309" s="365">
        <f t="shared" si="25"/>
        <v>1317574.3500000001</v>
      </c>
    </row>
    <row r="310" spans="1:30" s="159" customFormat="1">
      <c r="B310" s="191" t="s">
        <v>1039</v>
      </c>
      <c r="C310" s="172">
        <v>5</v>
      </c>
      <c r="D310" s="133">
        <v>865200</v>
      </c>
      <c r="E310" s="134">
        <v>648900</v>
      </c>
      <c r="F310" s="134">
        <v>540750</v>
      </c>
      <c r="G310" s="135">
        <v>324450</v>
      </c>
      <c r="H310" s="133">
        <v>910191</v>
      </c>
      <c r="I310" s="134">
        <v>682644</v>
      </c>
      <c r="J310" s="134">
        <v>568869</v>
      </c>
      <c r="K310" s="136">
        <v>341322</v>
      </c>
      <c r="L310" s="155"/>
      <c r="W310" s="352" t="s">
        <v>1198</v>
      </c>
      <c r="X310" s="109"/>
      <c r="Y310" s="365">
        <f t="shared" si="21"/>
        <v>903466.5</v>
      </c>
      <c r="Z310" s="365">
        <f t="shared" si="22"/>
        <v>1048495.5</v>
      </c>
      <c r="AA310" s="365"/>
      <c r="AB310" s="365">
        <f t="shared" si="24"/>
        <v>975981</v>
      </c>
      <c r="AC310" s="365">
        <f t="shared" si="23"/>
        <v>341593.35</v>
      </c>
      <c r="AD310" s="365">
        <f t="shared" si="25"/>
        <v>1317574.3500000001</v>
      </c>
    </row>
    <row r="311" spans="1:30" s="159" customFormat="1">
      <c r="B311" s="191" t="s">
        <v>1040</v>
      </c>
      <c r="C311" s="172">
        <v>6</v>
      </c>
      <c r="D311" s="133">
        <v>878181</v>
      </c>
      <c r="E311" s="134">
        <v>658635</v>
      </c>
      <c r="F311" s="134">
        <v>548862</v>
      </c>
      <c r="G311" s="135">
        <v>329319</v>
      </c>
      <c r="H311" s="133">
        <v>923847</v>
      </c>
      <c r="I311" s="134">
        <v>692886</v>
      </c>
      <c r="J311" s="134">
        <v>577404</v>
      </c>
      <c r="K311" s="136">
        <v>346443</v>
      </c>
      <c r="L311" s="155"/>
      <c r="N311" s="159" t="s">
        <v>1039</v>
      </c>
      <c r="W311" s="352" t="s">
        <v>1199</v>
      </c>
      <c r="X311" s="109"/>
      <c r="Y311" s="365">
        <f t="shared" si="21"/>
        <v>903466.5</v>
      </c>
      <c r="Z311" s="365">
        <f t="shared" si="22"/>
        <v>1048495.5</v>
      </c>
      <c r="AA311" s="365"/>
      <c r="AB311" s="365">
        <f t="shared" si="24"/>
        <v>975981</v>
      </c>
      <c r="AC311" s="365">
        <f t="shared" si="23"/>
        <v>341593.35</v>
      </c>
      <c r="AD311" s="365">
        <f t="shared" si="25"/>
        <v>1317574.3500000001</v>
      </c>
    </row>
    <row r="312" spans="1:30" s="159" customFormat="1">
      <c r="B312" s="191" t="s">
        <v>1041</v>
      </c>
      <c r="C312" s="172">
        <v>7</v>
      </c>
      <c r="D312" s="133">
        <v>891348</v>
      </c>
      <c r="E312" s="134">
        <v>668511</v>
      </c>
      <c r="F312" s="134">
        <v>557094</v>
      </c>
      <c r="G312" s="135">
        <v>334257</v>
      </c>
      <c r="H312" s="133">
        <v>937698</v>
      </c>
      <c r="I312" s="134">
        <v>703275</v>
      </c>
      <c r="J312" s="134">
        <v>586062</v>
      </c>
      <c r="K312" s="136">
        <v>351636</v>
      </c>
      <c r="L312" s="155"/>
      <c r="N312" s="159" t="s">
        <v>1041</v>
      </c>
      <c r="W312" s="352" t="s">
        <v>1200</v>
      </c>
      <c r="X312" s="109"/>
      <c r="Y312" s="365">
        <f t="shared" si="21"/>
        <v>903466.5</v>
      </c>
      <c r="Z312" s="365">
        <f t="shared" si="22"/>
        <v>1048495.5</v>
      </c>
      <c r="AA312" s="365"/>
      <c r="AB312" s="365">
        <f t="shared" si="24"/>
        <v>975981</v>
      </c>
      <c r="AC312" s="365">
        <f t="shared" si="23"/>
        <v>341593.35</v>
      </c>
      <c r="AD312" s="365">
        <f t="shared" si="25"/>
        <v>1317574.3500000001</v>
      </c>
    </row>
    <row r="313" spans="1:30" s="159" customFormat="1">
      <c r="B313" s="191" t="s">
        <v>1042</v>
      </c>
      <c r="C313" s="172">
        <v>8</v>
      </c>
      <c r="D313" s="133">
        <v>904719</v>
      </c>
      <c r="E313" s="134">
        <v>678540</v>
      </c>
      <c r="F313" s="134">
        <v>565449</v>
      </c>
      <c r="G313" s="135">
        <v>339270</v>
      </c>
      <c r="H313" s="133">
        <v>951765</v>
      </c>
      <c r="I313" s="134">
        <v>713823</v>
      </c>
      <c r="J313" s="134">
        <v>594852</v>
      </c>
      <c r="K313" s="136">
        <v>356913</v>
      </c>
      <c r="L313" s="155"/>
      <c r="N313" s="159" t="s">
        <v>1043</v>
      </c>
      <c r="W313" s="109"/>
      <c r="X313" s="109"/>
      <c r="Y313" s="350"/>
      <c r="Z313" s="350"/>
      <c r="AA313" s="350"/>
      <c r="AB313" s="350"/>
      <c r="AC313" s="350"/>
      <c r="AD313" s="350"/>
    </row>
    <row r="314" spans="1:30" s="159" customFormat="1">
      <c r="B314" s="191" t="s">
        <v>1043</v>
      </c>
      <c r="C314" s="162"/>
      <c r="D314" s="148"/>
      <c r="E314" s="162"/>
      <c r="F314" s="162"/>
      <c r="G314" s="162"/>
      <c r="H314" s="163"/>
      <c r="I314" s="162"/>
      <c r="J314" s="162"/>
      <c r="K314" s="164"/>
      <c r="N314" s="159" t="s">
        <v>1045</v>
      </c>
      <c r="W314" s="109"/>
      <c r="X314" s="109"/>
      <c r="Y314" s="350"/>
      <c r="Z314" s="350"/>
      <c r="AA314" s="350"/>
      <c r="AB314" s="350"/>
      <c r="AC314" s="350"/>
      <c r="AD314" s="350"/>
    </row>
    <row r="315" spans="1:30" s="159" customFormat="1">
      <c r="B315" s="191" t="s">
        <v>1044</v>
      </c>
      <c r="C315" s="162"/>
      <c r="D315" s="148"/>
      <c r="E315" s="162"/>
      <c r="F315" s="162"/>
      <c r="G315" s="162"/>
      <c r="H315" s="163"/>
      <c r="I315" s="162"/>
      <c r="J315" s="162"/>
      <c r="K315" s="164"/>
      <c r="N315" s="159" t="s">
        <v>1047</v>
      </c>
      <c r="W315" s="109"/>
      <c r="X315" s="109"/>
      <c r="Y315" s="350"/>
      <c r="Z315" s="350"/>
      <c r="AA315" s="350"/>
      <c r="AB315" s="350"/>
      <c r="AC315" s="350"/>
      <c r="AD315" s="350"/>
    </row>
    <row r="316" spans="1:30" s="159" customFormat="1">
      <c r="B316" s="191" t="s">
        <v>1045</v>
      </c>
      <c r="C316" s="162"/>
      <c r="D316" s="148"/>
      <c r="E316" s="162"/>
      <c r="F316" s="162"/>
      <c r="G316" s="162"/>
      <c r="H316" s="163"/>
      <c r="I316" s="162"/>
      <c r="J316" s="162"/>
      <c r="K316" s="164"/>
      <c r="N316" s="159" t="s">
        <v>769</v>
      </c>
      <c r="W316" s="109"/>
      <c r="X316" s="109"/>
      <c r="Y316" s="350"/>
      <c r="Z316" s="350"/>
      <c r="AA316" s="350"/>
      <c r="AB316" s="350"/>
      <c r="AC316" s="350"/>
      <c r="AD316" s="350"/>
    </row>
    <row r="317" spans="1:30" s="159" customFormat="1">
      <c r="B317" s="191" t="s">
        <v>1046</v>
      </c>
      <c r="C317" s="162"/>
      <c r="D317" s="148"/>
      <c r="E317" s="162"/>
      <c r="F317" s="162"/>
      <c r="G317" s="162"/>
      <c r="H317" s="163"/>
      <c r="I317" s="162"/>
      <c r="J317" s="162"/>
      <c r="K317" s="164"/>
      <c r="N317" s="159" t="s">
        <v>770</v>
      </c>
      <c r="W317" s="109"/>
      <c r="X317" s="109"/>
      <c r="Y317" s="350"/>
      <c r="Z317" s="350"/>
      <c r="AA317" s="350"/>
      <c r="AB317" s="350"/>
      <c r="AC317" s="350"/>
      <c r="AD317" s="350"/>
    </row>
    <row r="318" spans="1:30" s="159" customFormat="1">
      <c r="B318" s="191" t="s">
        <v>1047</v>
      </c>
      <c r="C318" s="162"/>
      <c r="D318" s="148"/>
      <c r="E318" s="162"/>
      <c r="F318" s="162"/>
      <c r="G318" s="162"/>
      <c r="H318" s="163"/>
      <c r="I318" s="162"/>
      <c r="J318" s="162"/>
      <c r="K318" s="164"/>
      <c r="W318" s="109"/>
      <c r="X318" s="109"/>
      <c r="Y318" s="350"/>
      <c r="Z318" s="350"/>
      <c r="AA318" s="350"/>
      <c r="AB318" s="350"/>
      <c r="AC318" s="350"/>
      <c r="AD318" s="350"/>
    </row>
    <row r="319" spans="1:30" s="159" customFormat="1">
      <c r="B319" s="191" t="s">
        <v>769</v>
      </c>
      <c r="C319" s="162"/>
      <c r="D319" s="148"/>
      <c r="E319" s="162"/>
      <c r="F319" s="162"/>
      <c r="G319" s="162"/>
      <c r="H319" s="163"/>
      <c r="I319" s="162"/>
      <c r="J319" s="162"/>
      <c r="K319" s="164"/>
      <c r="W319" s="109"/>
      <c r="X319" s="109"/>
      <c r="Y319" s="350"/>
      <c r="Z319" s="350"/>
      <c r="AA319" s="350"/>
      <c r="AB319" s="350"/>
      <c r="AC319" s="350"/>
      <c r="AD319" s="350"/>
    </row>
    <row r="320" spans="1:30" s="159" customFormat="1">
      <c r="B320" s="191" t="s">
        <v>770</v>
      </c>
      <c r="C320" s="162"/>
      <c r="D320" s="148"/>
      <c r="E320" s="162"/>
      <c r="F320" s="162"/>
      <c r="G320" s="162"/>
      <c r="H320" s="163"/>
      <c r="I320" s="162"/>
      <c r="J320" s="162"/>
      <c r="K320" s="164"/>
      <c r="W320" s="109"/>
      <c r="X320" s="109"/>
      <c r="Y320" s="350"/>
      <c r="Z320" s="350"/>
      <c r="AA320" s="350"/>
      <c r="AB320" s="350"/>
      <c r="AC320" s="350"/>
      <c r="AD320" s="350"/>
    </row>
    <row r="321" spans="1:30" s="159" customFormat="1">
      <c r="B321" s="191" t="s">
        <v>1048</v>
      </c>
      <c r="C321" s="162"/>
      <c r="D321" s="148"/>
      <c r="E321" s="162"/>
      <c r="F321" s="162"/>
      <c r="G321" s="162"/>
      <c r="H321" s="163"/>
      <c r="I321" s="162"/>
      <c r="J321" s="162"/>
      <c r="K321" s="164"/>
      <c r="W321" s="109"/>
      <c r="X321" s="109"/>
      <c r="Y321" s="350"/>
      <c r="Z321" s="350"/>
      <c r="AA321" s="350"/>
      <c r="AB321" s="350"/>
      <c r="AC321" s="350"/>
      <c r="AD321" s="350"/>
    </row>
    <row r="322" spans="1:30" s="159" customFormat="1">
      <c r="B322" s="191" t="s">
        <v>1049</v>
      </c>
      <c r="C322" s="162"/>
      <c r="D322" s="148"/>
      <c r="E322" s="162"/>
      <c r="F322" s="162"/>
      <c r="G322" s="162"/>
      <c r="H322" s="163"/>
      <c r="I322" s="162"/>
      <c r="J322" s="162"/>
      <c r="K322" s="164"/>
      <c r="W322" s="109"/>
      <c r="X322" s="109"/>
      <c r="Y322" s="350"/>
      <c r="Z322" s="350"/>
      <c r="AA322" s="350"/>
      <c r="AB322" s="350"/>
      <c r="AC322" s="350"/>
      <c r="AD322" s="350"/>
    </row>
    <row r="323" spans="1:30" s="159" customFormat="1">
      <c r="B323" s="191" t="s">
        <v>1050</v>
      </c>
      <c r="C323" s="162"/>
      <c r="D323" s="148"/>
      <c r="E323" s="162"/>
      <c r="F323" s="162"/>
      <c r="G323" s="162"/>
      <c r="H323" s="163"/>
      <c r="I323" s="162"/>
      <c r="J323" s="162"/>
      <c r="K323" s="164"/>
      <c r="W323" s="109"/>
      <c r="X323" s="109"/>
      <c r="Y323" s="350"/>
      <c r="Z323" s="350"/>
      <c r="AA323" s="350"/>
      <c r="AB323" s="350"/>
      <c r="AC323" s="350"/>
      <c r="AD323" s="350"/>
    </row>
    <row r="324" spans="1:30" s="159" customFormat="1">
      <c r="B324" s="191" t="s">
        <v>1051</v>
      </c>
      <c r="C324" s="162"/>
      <c r="D324" s="148"/>
      <c r="E324" s="162"/>
      <c r="F324" s="162"/>
      <c r="G324" s="162"/>
      <c r="H324" s="163"/>
      <c r="I324" s="162"/>
      <c r="J324" s="162"/>
      <c r="K324" s="164"/>
      <c r="W324" s="109"/>
      <c r="X324" s="109"/>
      <c r="Y324" s="350"/>
      <c r="Z324" s="350"/>
      <c r="AA324" s="350"/>
      <c r="AB324" s="350"/>
      <c r="AC324" s="350"/>
      <c r="AD324" s="350"/>
    </row>
    <row r="325" spans="1:30" s="159" customFormat="1">
      <c r="B325" s="191" t="s">
        <v>1052</v>
      </c>
      <c r="C325" s="162"/>
      <c r="D325" s="148"/>
      <c r="E325" s="162"/>
      <c r="F325" s="162"/>
      <c r="G325" s="162"/>
      <c r="H325" s="163"/>
      <c r="I325" s="162"/>
      <c r="J325" s="162"/>
      <c r="K325" s="164"/>
      <c r="W325" s="109"/>
      <c r="X325" s="109"/>
      <c r="Y325" s="350"/>
      <c r="Z325" s="350"/>
      <c r="AA325" s="350"/>
      <c r="AB325" s="350"/>
      <c r="AC325" s="350"/>
      <c r="AD325" s="350"/>
    </row>
    <row r="326" spans="1:30" s="159" customFormat="1">
      <c r="B326" s="191" t="s">
        <v>1053</v>
      </c>
      <c r="C326" s="162"/>
      <c r="D326" s="148"/>
      <c r="E326" s="162"/>
      <c r="F326" s="162"/>
      <c r="G326" s="162"/>
      <c r="H326" s="163"/>
      <c r="I326" s="162"/>
      <c r="J326" s="162"/>
      <c r="K326" s="164"/>
      <c r="W326" s="109"/>
      <c r="X326" s="109"/>
      <c r="Y326" s="350"/>
      <c r="Z326" s="350"/>
      <c r="AA326" s="350"/>
      <c r="AB326" s="350"/>
      <c r="AC326" s="350"/>
      <c r="AD326" s="350"/>
    </row>
    <row r="327" spans="1:30" s="159" customFormat="1">
      <c r="B327" s="191" t="s">
        <v>1054</v>
      </c>
      <c r="C327" s="162"/>
      <c r="D327" s="148"/>
      <c r="E327" s="162"/>
      <c r="F327" s="162"/>
      <c r="G327" s="162"/>
      <c r="H327" s="163"/>
      <c r="I327" s="162"/>
      <c r="J327" s="162"/>
      <c r="K327" s="164"/>
      <c r="W327" s="109"/>
      <c r="X327" s="109"/>
      <c r="Y327" s="350"/>
      <c r="Z327" s="350"/>
      <c r="AA327" s="350"/>
      <c r="AB327" s="350"/>
      <c r="AC327" s="350"/>
      <c r="AD327" s="350"/>
    </row>
    <row r="328" spans="1:30" s="159" customFormat="1">
      <c r="B328" s="191" t="s">
        <v>1055</v>
      </c>
      <c r="C328" s="162"/>
      <c r="D328" s="148"/>
      <c r="E328" s="162"/>
      <c r="F328" s="162"/>
      <c r="G328" s="162"/>
      <c r="H328" s="163"/>
      <c r="I328" s="162"/>
      <c r="J328" s="162"/>
      <c r="K328" s="164"/>
      <c r="W328" s="109"/>
      <c r="X328" s="109"/>
      <c r="Y328" s="350"/>
      <c r="Z328" s="350"/>
      <c r="AA328" s="350"/>
      <c r="AB328" s="350"/>
      <c r="AC328" s="350"/>
      <c r="AD328" s="350"/>
    </row>
    <row r="329" spans="1:30" s="159" customFormat="1" ht="14.4" thickBot="1">
      <c r="B329" s="173" t="s">
        <v>1056</v>
      </c>
      <c r="C329" s="167"/>
      <c r="D329" s="166"/>
      <c r="E329" s="167"/>
      <c r="F329" s="167"/>
      <c r="G329" s="167"/>
      <c r="H329" s="168"/>
      <c r="I329" s="167"/>
      <c r="J329" s="167"/>
      <c r="K329" s="179"/>
      <c r="W329" s="109"/>
      <c r="X329" s="109"/>
      <c r="Y329" s="350"/>
      <c r="Z329" s="350"/>
      <c r="AA329" s="350"/>
      <c r="AB329" s="350"/>
      <c r="AC329" s="350"/>
      <c r="AD329" s="350"/>
    </row>
    <row r="330" spans="1:30" s="159" customFormat="1">
      <c r="A330" s="159">
        <v>17</v>
      </c>
      <c r="B330" s="189" t="s">
        <v>1057</v>
      </c>
      <c r="C330" s="193">
        <v>1</v>
      </c>
      <c r="D330" s="127">
        <v>932058</v>
      </c>
      <c r="E330" s="128">
        <v>699045</v>
      </c>
      <c r="F330" s="128">
        <v>582537</v>
      </c>
      <c r="G330" s="129">
        <v>349521</v>
      </c>
      <c r="H330" s="127">
        <v>980526</v>
      </c>
      <c r="I330" s="128">
        <v>735396</v>
      </c>
      <c r="J330" s="128">
        <v>612828</v>
      </c>
      <c r="K330" s="130">
        <v>367698</v>
      </c>
      <c r="L330" s="155"/>
      <c r="W330" s="109"/>
      <c r="X330" s="109"/>
      <c r="Y330" s="350"/>
      <c r="Z330" s="350"/>
      <c r="AA330" s="350"/>
      <c r="AB330" s="350"/>
      <c r="AC330" s="350"/>
      <c r="AD330" s="350"/>
    </row>
    <row r="331" spans="1:30" s="159" customFormat="1">
      <c r="B331" s="191" t="s">
        <v>1058</v>
      </c>
      <c r="C331" s="172">
        <v>2</v>
      </c>
      <c r="D331" s="133">
        <v>946044</v>
      </c>
      <c r="E331" s="134">
        <v>709533</v>
      </c>
      <c r="F331" s="134">
        <v>591279</v>
      </c>
      <c r="G331" s="135">
        <v>354768</v>
      </c>
      <c r="H331" s="133">
        <v>995238</v>
      </c>
      <c r="I331" s="134">
        <v>746430</v>
      </c>
      <c r="J331" s="134">
        <v>622023</v>
      </c>
      <c r="K331" s="136">
        <v>373215</v>
      </c>
      <c r="L331" s="155"/>
      <c r="W331" s="109"/>
      <c r="X331" s="109"/>
      <c r="Y331" s="350"/>
      <c r="Z331" s="350"/>
      <c r="AA331" s="350"/>
      <c r="AB331" s="350"/>
      <c r="AC331" s="350"/>
      <c r="AD331" s="350"/>
    </row>
    <row r="332" spans="1:30" s="159" customFormat="1">
      <c r="B332" s="191" t="s">
        <v>1059</v>
      </c>
      <c r="C332" s="172">
        <v>3</v>
      </c>
      <c r="D332" s="133">
        <v>960225</v>
      </c>
      <c r="E332" s="134">
        <v>720168</v>
      </c>
      <c r="F332" s="134">
        <v>600141</v>
      </c>
      <c r="G332" s="135">
        <v>360084</v>
      </c>
      <c r="H332" s="133">
        <v>1010157</v>
      </c>
      <c r="I332" s="134">
        <v>757617</v>
      </c>
      <c r="J332" s="134">
        <v>631347</v>
      </c>
      <c r="K332" s="136">
        <v>378810</v>
      </c>
      <c r="L332" s="155"/>
      <c r="W332" s="109"/>
      <c r="X332" s="109"/>
      <c r="Y332" s="350"/>
      <c r="Z332" s="350"/>
      <c r="AA332" s="350"/>
      <c r="AB332" s="350"/>
      <c r="AC332" s="350"/>
      <c r="AD332" s="350"/>
    </row>
    <row r="333" spans="1:30" s="159" customFormat="1">
      <c r="B333" s="191" t="s">
        <v>1060</v>
      </c>
      <c r="C333" s="172">
        <v>4</v>
      </c>
      <c r="D333" s="133">
        <v>974634</v>
      </c>
      <c r="E333" s="134">
        <v>730977</v>
      </c>
      <c r="F333" s="134">
        <v>609147</v>
      </c>
      <c r="G333" s="135">
        <v>365487</v>
      </c>
      <c r="H333" s="133">
        <v>1025316</v>
      </c>
      <c r="I333" s="134">
        <v>768987</v>
      </c>
      <c r="J333" s="134">
        <v>640824</v>
      </c>
      <c r="K333" s="136">
        <v>384495</v>
      </c>
      <c r="L333" s="155"/>
      <c r="W333" s="109"/>
      <c r="X333" s="109"/>
      <c r="Y333" s="350"/>
      <c r="Z333" s="350"/>
      <c r="AA333" s="350"/>
      <c r="AB333" s="350"/>
      <c r="AC333" s="350"/>
      <c r="AD333" s="350"/>
    </row>
    <row r="334" spans="1:30" s="159" customFormat="1">
      <c r="B334" s="191" t="s">
        <v>1061</v>
      </c>
      <c r="C334" s="172">
        <v>5</v>
      </c>
      <c r="D334" s="133">
        <v>989247</v>
      </c>
      <c r="E334" s="134">
        <v>741936</v>
      </c>
      <c r="F334" s="134">
        <v>618279</v>
      </c>
      <c r="G334" s="135">
        <v>370968</v>
      </c>
      <c r="H334" s="133">
        <v>1040688</v>
      </c>
      <c r="I334" s="134">
        <v>780516</v>
      </c>
      <c r="J334" s="134">
        <v>650430</v>
      </c>
      <c r="K334" s="136">
        <v>390258</v>
      </c>
      <c r="L334" s="155"/>
      <c r="W334" s="109"/>
      <c r="X334" s="109"/>
      <c r="Y334" s="350"/>
      <c r="Z334" s="350"/>
      <c r="AA334" s="350"/>
      <c r="AB334" s="350"/>
      <c r="AC334" s="350"/>
      <c r="AD334" s="350"/>
    </row>
    <row r="335" spans="1:30" s="159" customFormat="1">
      <c r="B335" s="191" t="s">
        <v>1062</v>
      </c>
      <c r="C335" s="172">
        <v>6</v>
      </c>
      <c r="D335" s="133">
        <v>1004091</v>
      </c>
      <c r="E335" s="134">
        <v>753069</v>
      </c>
      <c r="F335" s="134">
        <v>627558</v>
      </c>
      <c r="G335" s="135">
        <v>376533</v>
      </c>
      <c r="H335" s="133">
        <v>1056303</v>
      </c>
      <c r="I335" s="134">
        <v>792228</v>
      </c>
      <c r="J335" s="134">
        <v>660189</v>
      </c>
      <c r="K335" s="136">
        <v>396114</v>
      </c>
      <c r="L335" s="155"/>
      <c r="W335" s="109"/>
      <c r="X335" s="109"/>
      <c r="Y335" s="350"/>
      <c r="Z335" s="350"/>
      <c r="AA335" s="350"/>
      <c r="AB335" s="350"/>
      <c r="AC335" s="350"/>
      <c r="AD335" s="350"/>
    </row>
    <row r="336" spans="1:30" s="159" customFormat="1">
      <c r="B336" s="191" t="s">
        <v>1063</v>
      </c>
      <c r="C336" s="172">
        <v>7</v>
      </c>
      <c r="D336" s="133">
        <v>1019154</v>
      </c>
      <c r="E336" s="134">
        <v>764367</v>
      </c>
      <c r="F336" s="134">
        <v>636972</v>
      </c>
      <c r="G336" s="135">
        <v>382182</v>
      </c>
      <c r="H336" s="133">
        <v>1072149</v>
      </c>
      <c r="I336" s="134">
        <v>804111</v>
      </c>
      <c r="J336" s="134">
        <v>670092</v>
      </c>
      <c r="K336" s="136">
        <v>402057</v>
      </c>
      <c r="L336" s="155"/>
      <c r="W336" s="109"/>
      <c r="X336" s="109"/>
      <c r="Y336" s="350"/>
      <c r="Z336" s="350"/>
      <c r="AA336" s="350"/>
      <c r="AB336" s="350"/>
      <c r="AC336" s="350"/>
      <c r="AD336" s="350"/>
    </row>
    <row r="337" spans="2:30" s="159" customFormat="1">
      <c r="B337" s="191" t="s">
        <v>1064</v>
      </c>
      <c r="C337" s="172">
        <v>8</v>
      </c>
      <c r="D337" s="133">
        <v>1034442</v>
      </c>
      <c r="E337" s="134">
        <v>775833</v>
      </c>
      <c r="F337" s="134">
        <v>646527</v>
      </c>
      <c r="G337" s="135">
        <v>387915</v>
      </c>
      <c r="H337" s="133">
        <v>1088232</v>
      </c>
      <c r="I337" s="134">
        <v>816174</v>
      </c>
      <c r="J337" s="134">
        <v>680145</v>
      </c>
      <c r="K337" s="136">
        <v>408087</v>
      </c>
      <c r="L337" s="155"/>
      <c r="W337" s="109"/>
      <c r="X337" s="109"/>
      <c r="Y337" s="350"/>
      <c r="Z337" s="350"/>
      <c r="AA337" s="350"/>
      <c r="AB337" s="350"/>
      <c r="AC337" s="350"/>
      <c r="AD337" s="350"/>
    </row>
    <row r="338" spans="2:30" s="159" customFormat="1">
      <c r="B338" s="191" t="s">
        <v>1065</v>
      </c>
      <c r="C338" s="172">
        <v>9</v>
      </c>
      <c r="D338" s="133">
        <v>1049952</v>
      </c>
      <c r="E338" s="134">
        <v>787464</v>
      </c>
      <c r="F338" s="134">
        <v>656220</v>
      </c>
      <c r="G338" s="135">
        <v>393732</v>
      </c>
      <c r="H338" s="133">
        <v>1104549</v>
      </c>
      <c r="I338" s="134">
        <v>828411</v>
      </c>
      <c r="J338" s="134">
        <v>690342</v>
      </c>
      <c r="K338" s="136">
        <v>414207</v>
      </c>
      <c r="L338" s="155"/>
      <c r="W338" s="109"/>
      <c r="X338" s="109"/>
      <c r="Y338" s="350"/>
      <c r="Z338" s="350"/>
      <c r="AA338" s="350"/>
      <c r="AB338" s="350"/>
      <c r="AC338" s="350"/>
      <c r="AD338" s="350"/>
    </row>
    <row r="339" spans="2:30" s="159" customFormat="1">
      <c r="B339" s="191" t="s">
        <v>1066</v>
      </c>
      <c r="C339" s="172">
        <v>10</v>
      </c>
      <c r="D339" s="133">
        <v>1065705</v>
      </c>
      <c r="E339" s="134">
        <v>799278</v>
      </c>
      <c r="F339" s="134">
        <v>666066</v>
      </c>
      <c r="G339" s="135">
        <v>399639</v>
      </c>
      <c r="H339" s="133">
        <v>1121121</v>
      </c>
      <c r="I339" s="134">
        <v>840840</v>
      </c>
      <c r="J339" s="134">
        <v>700701</v>
      </c>
      <c r="K339" s="136">
        <v>420420</v>
      </c>
      <c r="L339" s="155"/>
      <c r="W339" s="109"/>
      <c r="X339" s="109"/>
      <c r="Y339" s="350"/>
      <c r="Z339" s="350"/>
      <c r="AA339" s="350"/>
      <c r="AB339" s="350"/>
      <c r="AC339" s="350"/>
      <c r="AD339" s="350"/>
    </row>
    <row r="340" spans="2:30" s="159" customFormat="1">
      <c r="B340" s="191" t="s">
        <v>1067</v>
      </c>
      <c r="C340" s="162"/>
      <c r="D340" s="187"/>
      <c r="E340" s="162"/>
      <c r="F340" s="162"/>
      <c r="G340" s="162"/>
      <c r="H340" s="163"/>
      <c r="I340" s="162"/>
      <c r="J340" s="162"/>
      <c r="K340" s="164"/>
      <c r="W340" s="109"/>
      <c r="X340" s="109"/>
      <c r="Y340" s="350"/>
      <c r="Z340" s="350"/>
      <c r="AA340" s="350"/>
      <c r="AB340" s="350"/>
      <c r="AC340" s="350"/>
      <c r="AD340" s="350"/>
    </row>
    <row r="341" spans="2:30" s="159" customFormat="1">
      <c r="B341" s="191" t="s">
        <v>1068</v>
      </c>
      <c r="C341" s="162"/>
      <c r="D341" s="187"/>
      <c r="E341" s="162"/>
      <c r="F341" s="162"/>
      <c r="G341" s="162"/>
      <c r="H341" s="163"/>
      <c r="I341" s="162"/>
      <c r="J341" s="162"/>
      <c r="K341" s="164"/>
      <c r="W341" s="109"/>
      <c r="X341" s="109"/>
      <c r="Y341" s="350"/>
      <c r="Z341" s="350"/>
      <c r="AA341" s="350"/>
      <c r="AB341" s="350"/>
      <c r="AC341" s="350"/>
      <c r="AD341" s="350"/>
    </row>
    <row r="342" spans="2:30" s="159" customFormat="1">
      <c r="B342" s="191" t="s">
        <v>1069</v>
      </c>
      <c r="C342" s="162"/>
      <c r="D342" s="187"/>
      <c r="E342" s="162"/>
      <c r="F342" s="162"/>
      <c r="G342" s="162"/>
      <c r="H342" s="163"/>
      <c r="I342" s="162"/>
      <c r="J342" s="162"/>
      <c r="K342" s="164"/>
      <c r="W342" s="109"/>
      <c r="X342" s="109"/>
      <c r="Y342" s="350"/>
      <c r="Z342" s="350"/>
      <c r="AA342" s="350"/>
      <c r="AB342" s="350"/>
      <c r="AC342" s="350"/>
      <c r="AD342" s="350"/>
    </row>
    <row r="343" spans="2:30" s="159" customFormat="1">
      <c r="B343" s="191" t="s">
        <v>771</v>
      </c>
      <c r="C343" s="162"/>
      <c r="D343" s="187"/>
      <c r="E343" s="162"/>
      <c r="F343" s="162"/>
      <c r="G343" s="162"/>
      <c r="H343" s="163"/>
      <c r="I343" s="162"/>
      <c r="J343" s="162"/>
      <c r="K343" s="164"/>
      <c r="W343" s="109"/>
      <c r="X343" s="109"/>
      <c r="Y343" s="350"/>
      <c r="Z343" s="350"/>
      <c r="AA343" s="350"/>
      <c r="AB343" s="350"/>
      <c r="AC343" s="350"/>
      <c r="AD343" s="350"/>
    </row>
    <row r="344" spans="2:30" s="159" customFormat="1">
      <c r="B344" s="191" t="s">
        <v>772</v>
      </c>
      <c r="C344" s="162"/>
      <c r="D344" s="187"/>
      <c r="E344" s="162"/>
      <c r="F344" s="162"/>
      <c r="G344" s="162"/>
      <c r="H344" s="163"/>
      <c r="I344" s="162"/>
      <c r="J344" s="162"/>
      <c r="K344" s="164"/>
      <c r="W344" s="109"/>
      <c r="X344" s="109"/>
      <c r="Y344" s="350"/>
      <c r="Z344" s="350"/>
      <c r="AA344" s="350"/>
      <c r="AB344" s="350"/>
      <c r="AC344" s="350"/>
      <c r="AD344" s="350"/>
    </row>
    <row r="345" spans="2:30" s="159" customFormat="1">
      <c r="B345" s="191" t="s">
        <v>1070</v>
      </c>
      <c r="C345" s="162"/>
      <c r="D345" s="187"/>
      <c r="E345" s="162"/>
      <c r="F345" s="162"/>
      <c r="G345" s="162"/>
      <c r="H345" s="163"/>
      <c r="I345" s="162"/>
      <c r="J345" s="162"/>
      <c r="K345" s="164"/>
      <c r="W345" s="109"/>
      <c r="X345" s="109"/>
      <c r="Y345" s="350"/>
      <c r="Z345" s="350"/>
      <c r="AA345" s="350"/>
      <c r="AB345" s="350"/>
      <c r="AC345" s="350"/>
      <c r="AD345" s="350"/>
    </row>
    <row r="346" spans="2:30" s="159" customFormat="1">
      <c r="B346" s="191" t="s">
        <v>1071</v>
      </c>
      <c r="C346" s="162"/>
      <c r="D346" s="187"/>
      <c r="E346" s="162"/>
      <c r="F346" s="162"/>
      <c r="G346" s="162"/>
      <c r="H346" s="163"/>
      <c r="I346" s="162"/>
      <c r="J346" s="162"/>
      <c r="K346" s="164"/>
      <c r="W346" s="109"/>
      <c r="X346" s="109"/>
      <c r="Y346" s="350"/>
      <c r="Z346" s="350"/>
      <c r="AA346" s="350"/>
      <c r="AB346" s="350"/>
      <c r="AC346" s="350"/>
      <c r="AD346" s="350"/>
    </row>
    <row r="347" spans="2:30" s="159" customFormat="1">
      <c r="B347" s="191" t="s">
        <v>1072</v>
      </c>
      <c r="C347" s="162"/>
      <c r="D347" s="187"/>
      <c r="E347" s="162"/>
      <c r="F347" s="162"/>
      <c r="G347" s="162"/>
      <c r="H347" s="163"/>
      <c r="I347" s="162"/>
      <c r="J347" s="162"/>
      <c r="K347" s="164"/>
      <c r="W347" s="109"/>
      <c r="X347" s="109"/>
      <c r="Y347" s="350"/>
      <c r="Z347" s="350"/>
      <c r="AA347" s="350"/>
      <c r="AB347" s="350"/>
      <c r="AC347" s="350"/>
      <c r="AD347" s="350"/>
    </row>
    <row r="348" spans="2:30" s="159" customFormat="1">
      <c r="B348" s="191" t="s">
        <v>1073</v>
      </c>
      <c r="C348" s="162"/>
      <c r="D348" s="187"/>
      <c r="E348" s="162"/>
      <c r="F348" s="162"/>
      <c r="G348" s="162"/>
      <c r="H348" s="163"/>
      <c r="I348" s="162"/>
      <c r="J348" s="162"/>
      <c r="K348" s="164"/>
      <c r="W348" s="109"/>
      <c r="X348" s="109"/>
      <c r="Y348" s="350"/>
      <c r="Z348" s="350"/>
      <c r="AA348" s="350"/>
      <c r="AB348" s="350"/>
      <c r="AC348" s="350"/>
      <c r="AD348" s="350"/>
    </row>
    <row r="349" spans="2:30" s="159" customFormat="1">
      <c r="B349" s="191" t="s">
        <v>1074</v>
      </c>
      <c r="C349" s="162"/>
      <c r="D349" s="187"/>
      <c r="E349" s="162"/>
      <c r="F349" s="162"/>
      <c r="G349" s="162"/>
      <c r="H349" s="163"/>
      <c r="I349" s="162"/>
      <c r="J349" s="162"/>
      <c r="K349" s="164"/>
      <c r="W349" s="109"/>
      <c r="X349" s="109"/>
      <c r="Y349" s="350"/>
      <c r="Z349" s="350"/>
      <c r="AA349" s="350"/>
      <c r="AB349" s="350"/>
      <c r="AC349" s="350"/>
      <c r="AD349" s="350"/>
    </row>
    <row r="350" spans="2:30" s="159" customFormat="1">
      <c r="B350" s="191" t="s">
        <v>1075</v>
      </c>
      <c r="C350" s="162"/>
      <c r="D350" s="187"/>
      <c r="E350" s="162"/>
      <c r="F350" s="162"/>
      <c r="G350" s="162"/>
      <c r="H350" s="163"/>
      <c r="I350" s="162"/>
      <c r="J350" s="162"/>
      <c r="K350" s="164"/>
      <c r="W350" s="109"/>
      <c r="X350" s="109"/>
      <c r="Y350" s="350"/>
      <c r="Z350" s="350"/>
      <c r="AA350" s="350"/>
      <c r="AB350" s="350"/>
      <c r="AC350" s="350"/>
      <c r="AD350" s="350"/>
    </row>
    <row r="351" spans="2:30" s="159" customFormat="1">
      <c r="B351" s="191" t="s">
        <v>1076</v>
      </c>
      <c r="C351" s="162"/>
      <c r="D351" s="187"/>
      <c r="E351" s="162"/>
      <c r="F351" s="162"/>
      <c r="G351" s="162"/>
      <c r="H351" s="163"/>
      <c r="I351" s="162"/>
      <c r="J351" s="162"/>
      <c r="K351" s="164"/>
      <c r="W351" s="109"/>
      <c r="X351" s="109"/>
      <c r="Y351" s="350"/>
      <c r="Z351" s="350"/>
      <c r="AA351" s="350"/>
      <c r="AB351" s="350"/>
      <c r="AC351" s="350"/>
      <c r="AD351" s="350"/>
    </row>
    <row r="352" spans="2:30" s="159" customFormat="1">
      <c r="B352" s="191" t="s">
        <v>1077</v>
      </c>
      <c r="C352" s="162"/>
      <c r="D352" s="187"/>
      <c r="E352" s="162"/>
      <c r="F352" s="162"/>
      <c r="G352" s="162"/>
      <c r="H352" s="163"/>
      <c r="I352" s="162"/>
      <c r="J352" s="162"/>
      <c r="K352" s="164"/>
      <c r="W352" s="109"/>
      <c r="X352" s="109"/>
      <c r="Y352" s="350"/>
      <c r="Z352" s="350"/>
      <c r="AA352" s="350"/>
      <c r="AB352" s="350"/>
      <c r="AC352" s="350"/>
      <c r="AD352" s="350"/>
    </row>
    <row r="353" spans="1:30" s="159" customFormat="1" ht="14.4" thickBot="1">
      <c r="B353" s="173" t="s">
        <v>1078</v>
      </c>
      <c r="C353" s="167"/>
      <c r="D353" s="188"/>
      <c r="E353" s="167"/>
      <c r="F353" s="167"/>
      <c r="G353" s="167"/>
      <c r="H353" s="168"/>
      <c r="I353" s="167"/>
      <c r="J353" s="167"/>
      <c r="K353" s="179"/>
      <c r="W353" s="109"/>
      <c r="X353" s="109"/>
      <c r="Y353" s="350"/>
      <c r="Z353" s="350"/>
      <c r="AA353" s="350"/>
      <c r="AB353" s="350"/>
      <c r="AC353" s="350"/>
      <c r="AD353" s="350"/>
    </row>
    <row r="354" spans="1:30" s="159" customFormat="1">
      <c r="B354" s="194"/>
      <c r="C354" s="162"/>
      <c r="D354" s="187"/>
      <c r="E354" s="162"/>
      <c r="F354" s="162"/>
      <c r="G354" s="162"/>
      <c r="H354" s="148"/>
      <c r="I354" s="162"/>
      <c r="J354" s="162"/>
      <c r="K354" s="162"/>
      <c r="W354" s="109"/>
      <c r="X354" s="109"/>
      <c r="Y354" s="350"/>
      <c r="Z354" s="350"/>
      <c r="AA354" s="350"/>
      <c r="AB354" s="350"/>
      <c r="AC354" s="350"/>
      <c r="AD354" s="350"/>
    </row>
    <row r="355" spans="1:30" s="159" customFormat="1">
      <c r="B355" s="194"/>
      <c r="C355" s="162"/>
      <c r="D355" s="196"/>
      <c r="E355" s="162"/>
      <c r="F355" s="162"/>
      <c r="G355" s="162"/>
      <c r="H355" s="148"/>
      <c r="I355" s="162"/>
      <c r="J355" s="162"/>
      <c r="K355" s="162"/>
      <c r="W355" s="109"/>
      <c r="X355" s="109"/>
      <c r="Y355" s="350"/>
      <c r="Z355" s="350"/>
      <c r="AA355" s="350"/>
      <c r="AB355" s="350"/>
      <c r="AC355" s="350"/>
      <c r="AD355" s="350"/>
    </row>
    <row r="356" spans="1:30" ht="16.05" customHeight="1" thickBot="1">
      <c r="B356" s="1104" t="s">
        <v>1079</v>
      </c>
      <c r="C356" s="1104"/>
      <c r="D356" s="1104"/>
      <c r="E356" s="1104"/>
      <c r="F356" s="1104"/>
      <c r="G356" s="1104"/>
      <c r="H356" s="1104"/>
      <c r="I356" s="1104"/>
      <c r="J356" s="1104"/>
      <c r="K356" s="1104"/>
      <c r="L356" s="369"/>
    </row>
    <row r="357" spans="1:30" ht="18.600000000000001" thickBot="1">
      <c r="B357" s="195"/>
      <c r="C357" s="195"/>
      <c r="D357" s="1135" t="s">
        <v>773</v>
      </c>
      <c r="E357" s="1136"/>
      <c r="F357" s="1136"/>
      <c r="G357" s="1137"/>
      <c r="H357" s="1123" t="s">
        <v>773</v>
      </c>
      <c r="I357" s="1124"/>
      <c r="J357" s="1124"/>
      <c r="K357" s="1125"/>
      <c r="L357" s="197"/>
    </row>
    <row r="358" spans="1:30" s="159" customFormat="1">
      <c r="A358" s="159">
        <v>24</v>
      </c>
      <c r="B358" s="1126" t="s">
        <v>1080</v>
      </c>
      <c r="C358" s="198">
        <v>1</v>
      </c>
      <c r="D358" s="127">
        <v>440982</v>
      </c>
      <c r="E358" s="128">
        <v>330738</v>
      </c>
      <c r="F358" s="128">
        <v>275613</v>
      </c>
      <c r="G358" s="129">
        <v>165369</v>
      </c>
      <c r="H358" s="127">
        <v>466119</v>
      </c>
      <c r="I358" s="199">
        <v>349590</v>
      </c>
      <c r="J358" s="199">
        <v>291324</v>
      </c>
      <c r="K358" s="200">
        <v>174795</v>
      </c>
      <c r="L358" s="155"/>
      <c r="W358" s="109"/>
      <c r="X358" s="109"/>
      <c r="Y358" s="350"/>
      <c r="Z358" s="350"/>
      <c r="AA358" s="350"/>
      <c r="AB358" s="350"/>
      <c r="AC358" s="350"/>
      <c r="AD358" s="350"/>
    </row>
    <row r="359" spans="1:30" s="159" customFormat="1">
      <c r="B359" s="1127"/>
      <c r="C359" s="201">
        <v>2</v>
      </c>
      <c r="D359" s="133">
        <v>447597</v>
      </c>
      <c r="E359" s="134">
        <v>335697</v>
      </c>
      <c r="F359" s="134">
        <v>279747</v>
      </c>
      <c r="G359" s="135">
        <v>167850</v>
      </c>
      <c r="H359" s="133">
        <v>473109</v>
      </c>
      <c r="I359" s="153">
        <v>354831</v>
      </c>
      <c r="J359" s="153">
        <v>295692</v>
      </c>
      <c r="K359" s="154">
        <v>177417</v>
      </c>
      <c r="L359" s="155"/>
      <c r="W359" s="109"/>
      <c r="X359" s="109"/>
      <c r="Y359" s="350"/>
      <c r="Z359" s="350"/>
      <c r="AA359" s="350"/>
      <c r="AB359" s="350"/>
      <c r="AC359" s="350"/>
      <c r="AD359" s="350"/>
    </row>
    <row r="360" spans="1:30" s="159" customFormat="1">
      <c r="B360" s="1127"/>
      <c r="C360" s="201">
        <v>3</v>
      </c>
      <c r="D360" s="133">
        <v>454317</v>
      </c>
      <c r="E360" s="134">
        <v>340737</v>
      </c>
      <c r="F360" s="134">
        <v>283947</v>
      </c>
      <c r="G360" s="135">
        <v>170370</v>
      </c>
      <c r="H360" s="133">
        <v>480213</v>
      </c>
      <c r="I360" s="153">
        <v>360159</v>
      </c>
      <c r="J360" s="153">
        <v>300132</v>
      </c>
      <c r="K360" s="154">
        <v>180081</v>
      </c>
      <c r="L360" s="155"/>
      <c r="W360" s="109"/>
      <c r="X360" s="109"/>
      <c r="Y360" s="350"/>
      <c r="Z360" s="350"/>
      <c r="AA360" s="350"/>
      <c r="AB360" s="350"/>
      <c r="AC360" s="350"/>
      <c r="AD360" s="350"/>
    </row>
    <row r="361" spans="1:30" s="159" customFormat="1">
      <c r="B361" s="1127"/>
      <c r="C361" s="201">
        <v>4</v>
      </c>
      <c r="D361" s="133">
        <v>461130</v>
      </c>
      <c r="E361" s="134">
        <v>345849</v>
      </c>
      <c r="F361" s="134">
        <v>288207</v>
      </c>
      <c r="G361" s="135">
        <v>172923</v>
      </c>
      <c r="H361" s="133">
        <v>487413</v>
      </c>
      <c r="I361" s="153">
        <v>365559</v>
      </c>
      <c r="J361" s="153">
        <v>304632</v>
      </c>
      <c r="K361" s="154">
        <v>182781</v>
      </c>
      <c r="L361" s="155"/>
      <c r="W361" s="109"/>
      <c r="X361" s="109"/>
      <c r="Y361" s="350"/>
      <c r="Z361" s="350"/>
      <c r="AA361" s="350"/>
      <c r="AB361" s="350"/>
      <c r="AC361" s="350"/>
      <c r="AD361" s="350"/>
    </row>
    <row r="362" spans="1:30" s="159" customFormat="1">
      <c r="B362" s="1127"/>
      <c r="C362" s="201">
        <v>5</v>
      </c>
      <c r="D362" s="133">
        <v>468051</v>
      </c>
      <c r="E362" s="134">
        <v>351039</v>
      </c>
      <c r="F362" s="134">
        <v>292533</v>
      </c>
      <c r="G362" s="135">
        <v>175518</v>
      </c>
      <c r="H362" s="133">
        <v>494730</v>
      </c>
      <c r="I362" s="153">
        <v>371049</v>
      </c>
      <c r="J362" s="153">
        <v>309207</v>
      </c>
      <c r="K362" s="154">
        <v>185523</v>
      </c>
      <c r="L362" s="155"/>
      <c r="W362" s="109"/>
      <c r="X362" s="109"/>
      <c r="Y362" s="350"/>
      <c r="Z362" s="350"/>
      <c r="AA362" s="350"/>
      <c r="AB362" s="350"/>
      <c r="AC362" s="350"/>
      <c r="AD362" s="350"/>
    </row>
    <row r="363" spans="1:30" s="159" customFormat="1">
      <c r="B363" s="1127"/>
      <c r="C363" s="201">
        <v>6</v>
      </c>
      <c r="D363" s="133">
        <v>475068</v>
      </c>
      <c r="E363" s="134">
        <v>356301</v>
      </c>
      <c r="F363" s="134">
        <v>296919</v>
      </c>
      <c r="G363" s="135">
        <v>178152</v>
      </c>
      <c r="H363" s="133">
        <v>502146</v>
      </c>
      <c r="I363" s="153">
        <v>376611</v>
      </c>
      <c r="J363" s="153">
        <v>313842</v>
      </c>
      <c r="K363" s="154">
        <v>188304</v>
      </c>
      <c r="L363" s="155"/>
      <c r="W363" s="109"/>
      <c r="X363" s="109"/>
      <c r="Y363" s="350"/>
      <c r="Z363" s="350"/>
      <c r="AA363" s="350"/>
      <c r="AB363" s="350"/>
      <c r="AC363" s="350"/>
      <c r="AD363" s="350"/>
    </row>
    <row r="364" spans="1:30" s="159" customFormat="1">
      <c r="B364" s="1127"/>
      <c r="C364" s="201">
        <v>7</v>
      </c>
      <c r="D364" s="133">
        <v>482202</v>
      </c>
      <c r="E364" s="134">
        <v>361653</v>
      </c>
      <c r="F364" s="134">
        <v>301377</v>
      </c>
      <c r="G364" s="135">
        <v>180825</v>
      </c>
      <c r="H364" s="133">
        <v>509688</v>
      </c>
      <c r="I364" s="153">
        <v>382266</v>
      </c>
      <c r="J364" s="153">
        <v>318555</v>
      </c>
      <c r="K364" s="154">
        <v>191133</v>
      </c>
      <c r="L364" s="155"/>
      <c r="W364" s="109"/>
      <c r="X364" s="109"/>
      <c r="Y364" s="350"/>
      <c r="Z364" s="350"/>
      <c r="AA364" s="350"/>
      <c r="AB364" s="350"/>
      <c r="AC364" s="350"/>
      <c r="AD364" s="350"/>
    </row>
    <row r="365" spans="1:30" s="159" customFormat="1" ht="14.4" thickBot="1">
      <c r="B365" s="1128"/>
      <c r="C365" s="202">
        <v>8</v>
      </c>
      <c r="D365" s="133">
        <v>489429</v>
      </c>
      <c r="E365" s="134">
        <v>367071</v>
      </c>
      <c r="F365" s="134">
        <v>305892</v>
      </c>
      <c r="G365" s="135">
        <v>183537</v>
      </c>
      <c r="H365" s="139">
        <v>517326</v>
      </c>
      <c r="I365" s="203">
        <v>387996</v>
      </c>
      <c r="J365" s="203">
        <v>323328</v>
      </c>
      <c r="K365" s="204">
        <v>193998</v>
      </c>
      <c r="L365" s="155"/>
      <c r="O365" s="159" t="s">
        <v>1080</v>
      </c>
      <c r="W365" s="109"/>
      <c r="X365" s="109"/>
      <c r="Y365" s="350"/>
      <c r="Z365" s="350"/>
      <c r="AA365" s="350"/>
      <c r="AB365" s="350"/>
      <c r="AC365" s="350"/>
      <c r="AD365" s="350"/>
    </row>
    <row r="366" spans="1:30" s="159" customFormat="1">
      <c r="A366" s="159">
        <v>25</v>
      </c>
      <c r="B366" s="1127" t="s">
        <v>1081</v>
      </c>
      <c r="C366" s="205">
        <v>1</v>
      </c>
      <c r="D366" s="127">
        <v>504219</v>
      </c>
      <c r="E366" s="128">
        <v>378165</v>
      </c>
      <c r="F366" s="128">
        <v>315138</v>
      </c>
      <c r="G366" s="129">
        <v>189081</v>
      </c>
      <c r="H366" s="127">
        <v>532959</v>
      </c>
      <c r="I366" s="199">
        <v>399720</v>
      </c>
      <c r="J366" s="199">
        <v>333099</v>
      </c>
      <c r="K366" s="200">
        <v>199860</v>
      </c>
      <c r="L366" s="155"/>
      <c r="O366" s="159" t="s">
        <v>1082</v>
      </c>
      <c r="W366" s="109"/>
      <c r="X366" s="109"/>
      <c r="Y366" s="350"/>
      <c r="Z366" s="350"/>
      <c r="AA366" s="350"/>
      <c r="AB366" s="350"/>
      <c r="AC366" s="350"/>
      <c r="AD366" s="350"/>
    </row>
    <row r="367" spans="1:30" s="159" customFormat="1">
      <c r="B367" s="1127"/>
      <c r="C367" s="201">
        <v>2</v>
      </c>
      <c r="D367" s="133">
        <v>511782</v>
      </c>
      <c r="E367" s="134">
        <v>383838</v>
      </c>
      <c r="F367" s="134">
        <v>319863</v>
      </c>
      <c r="G367" s="135">
        <v>191919</v>
      </c>
      <c r="H367" s="133">
        <v>540954</v>
      </c>
      <c r="I367" s="153">
        <v>405717</v>
      </c>
      <c r="J367" s="153">
        <v>338097</v>
      </c>
      <c r="K367" s="154">
        <v>202857</v>
      </c>
      <c r="L367" s="155"/>
      <c r="O367" s="159" t="s">
        <v>1084</v>
      </c>
      <c r="W367" s="109"/>
      <c r="X367" s="109"/>
      <c r="Y367" s="350"/>
      <c r="Z367" s="350"/>
      <c r="AA367" s="350"/>
      <c r="AB367" s="350"/>
      <c r="AC367" s="350"/>
      <c r="AD367" s="350"/>
    </row>
    <row r="368" spans="1:30" s="159" customFormat="1">
      <c r="B368" s="1127"/>
      <c r="C368" s="201">
        <v>3</v>
      </c>
      <c r="D368" s="133">
        <v>519456</v>
      </c>
      <c r="E368" s="134">
        <v>389592</v>
      </c>
      <c r="F368" s="134">
        <v>324660</v>
      </c>
      <c r="G368" s="135">
        <v>194796</v>
      </c>
      <c r="H368" s="133">
        <v>549066</v>
      </c>
      <c r="I368" s="153">
        <v>411801</v>
      </c>
      <c r="J368" s="153">
        <v>343167</v>
      </c>
      <c r="K368" s="154">
        <v>205899</v>
      </c>
      <c r="L368" s="155"/>
      <c r="W368" s="109"/>
      <c r="X368" s="109"/>
      <c r="Y368" s="350"/>
      <c r="Z368" s="350"/>
      <c r="AA368" s="350"/>
      <c r="AB368" s="350"/>
      <c r="AC368" s="350"/>
      <c r="AD368" s="350"/>
    </row>
    <row r="369" spans="1:30" s="159" customFormat="1">
      <c r="B369" s="1127"/>
      <c r="C369" s="201">
        <v>4</v>
      </c>
      <c r="D369" s="133">
        <v>527253</v>
      </c>
      <c r="E369" s="134">
        <v>395439</v>
      </c>
      <c r="F369" s="134">
        <v>329532</v>
      </c>
      <c r="G369" s="135">
        <v>197721</v>
      </c>
      <c r="H369" s="133">
        <v>557307</v>
      </c>
      <c r="I369" s="153">
        <v>417981</v>
      </c>
      <c r="J369" s="153">
        <v>348318</v>
      </c>
      <c r="K369" s="154">
        <v>208989</v>
      </c>
      <c r="L369" s="155"/>
      <c r="W369" s="109"/>
      <c r="X369" s="109"/>
      <c r="Y369" s="350"/>
      <c r="Z369" s="350"/>
      <c r="AA369" s="350"/>
      <c r="AB369" s="350"/>
      <c r="AC369" s="350"/>
      <c r="AD369" s="350"/>
    </row>
    <row r="370" spans="1:30" s="159" customFormat="1">
      <c r="B370" s="1127"/>
      <c r="C370" s="201">
        <v>5</v>
      </c>
      <c r="D370" s="133">
        <v>535164</v>
      </c>
      <c r="E370" s="134">
        <v>401373</v>
      </c>
      <c r="F370" s="134">
        <v>334479</v>
      </c>
      <c r="G370" s="135">
        <v>200688</v>
      </c>
      <c r="H370" s="133">
        <v>565668</v>
      </c>
      <c r="I370" s="153">
        <v>424251</v>
      </c>
      <c r="J370" s="153">
        <v>353544</v>
      </c>
      <c r="K370" s="154">
        <v>212127</v>
      </c>
      <c r="L370" s="155"/>
      <c r="W370" s="109"/>
      <c r="X370" s="109"/>
      <c r="Y370" s="350"/>
      <c r="Z370" s="350"/>
      <c r="AA370" s="350"/>
      <c r="AB370" s="350"/>
      <c r="AC370" s="350"/>
      <c r="AD370" s="350"/>
    </row>
    <row r="371" spans="1:30" s="159" customFormat="1">
      <c r="B371" s="1127"/>
      <c r="C371" s="201">
        <v>6</v>
      </c>
      <c r="D371" s="133">
        <v>543195</v>
      </c>
      <c r="E371" s="134">
        <v>407397</v>
      </c>
      <c r="F371" s="134">
        <v>339498</v>
      </c>
      <c r="G371" s="135">
        <v>203697</v>
      </c>
      <c r="H371" s="133">
        <v>574158</v>
      </c>
      <c r="I371" s="153">
        <v>430620</v>
      </c>
      <c r="J371" s="153">
        <v>358848</v>
      </c>
      <c r="K371" s="154">
        <v>215310</v>
      </c>
      <c r="L371" s="155"/>
      <c r="W371" s="109"/>
      <c r="X371" s="109"/>
      <c r="Y371" s="350"/>
      <c r="Z371" s="350"/>
      <c r="AA371" s="350"/>
      <c r="AB371" s="350"/>
      <c r="AC371" s="350"/>
      <c r="AD371" s="350"/>
    </row>
    <row r="372" spans="1:30" s="159" customFormat="1">
      <c r="B372" s="1127"/>
      <c r="C372" s="201">
        <v>7</v>
      </c>
      <c r="D372" s="133">
        <v>551343</v>
      </c>
      <c r="E372" s="134">
        <v>413508</v>
      </c>
      <c r="F372" s="134">
        <v>344589</v>
      </c>
      <c r="G372" s="135">
        <v>206754</v>
      </c>
      <c r="H372" s="133">
        <v>582771</v>
      </c>
      <c r="I372" s="153">
        <v>437079</v>
      </c>
      <c r="J372" s="153">
        <v>364233</v>
      </c>
      <c r="K372" s="154">
        <v>218538</v>
      </c>
      <c r="L372" s="155"/>
      <c r="W372" s="109"/>
      <c r="X372" s="109"/>
      <c r="Y372" s="350"/>
      <c r="Z372" s="350"/>
      <c r="AA372" s="350"/>
      <c r="AB372" s="350"/>
      <c r="AC372" s="350"/>
      <c r="AD372" s="350"/>
    </row>
    <row r="373" spans="1:30" s="159" customFormat="1" ht="14.4" thickBot="1">
      <c r="B373" s="1127"/>
      <c r="C373" s="206">
        <v>8</v>
      </c>
      <c r="D373" s="133">
        <v>559611</v>
      </c>
      <c r="E373" s="134">
        <v>419709</v>
      </c>
      <c r="F373" s="134">
        <v>349758</v>
      </c>
      <c r="G373" s="135">
        <v>209853</v>
      </c>
      <c r="H373" s="139">
        <v>591510</v>
      </c>
      <c r="I373" s="203">
        <v>443634</v>
      </c>
      <c r="J373" s="203">
        <v>369693</v>
      </c>
      <c r="K373" s="204">
        <v>221817</v>
      </c>
      <c r="L373" s="155"/>
      <c r="W373" s="109"/>
      <c r="X373" s="109"/>
      <c r="Y373" s="350"/>
      <c r="Z373" s="350"/>
      <c r="AA373" s="350"/>
      <c r="AB373" s="350"/>
      <c r="AC373" s="350"/>
      <c r="AD373" s="350"/>
    </row>
    <row r="374" spans="1:30" s="159" customFormat="1">
      <c r="A374" s="159">
        <v>26</v>
      </c>
      <c r="B374" s="1126" t="s">
        <v>1082</v>
      </c>
      <c r="C374" s="198">
        <v>1</v>
      </c>
      <c r="D374" s="127">
        <v>489429</v>
      </c>
      <c r="E374" s="128">
        <v>367071</v>
      </c>
      <c r="F374" s="128">
        <v>305892</v>
      </c>
      <c r="G374" s="129">
        <v>183537</v>
      </c>
      <c r="H374" s="127">
        <v>517326</v>
      </c>
      <c r="I374" s="199">
        <v>387996</v>
      </c>
      <c r="J374" s="199">
        <v>323328</v>
      </c>
      <c r="K374" s="200">
        <v>193998</v>
      </c>
      <c r="L374" s="155"/>
      <c r="W374" s="109"/>
      <c r="X374" s="109"/>
      <c r="Y374" s="350"/>
      <c r="Z374" s="350"/>
      <c r="AA374" s="350"/>
      <c r="AB374" s="350"/>
      <c r="AC374" s="350"/>
      <c r="AD374" s="350"/>
    </row>
    <row r="375" spans="1:30" s="159" customFormat="1">
      <c r="B375" s="1127"/>
      <c r="C375" s="201">
        <v>2</v>
      </c>
      <c r="D375" s="133">
        <v>496776</v>
      </c>
      <c r="E375" s="134">
        <v>372582</v>
      </c>
      <c r="F375" s="134">
        <v>310485</v>
      </c>
      <c r="G375" s="135">
        <v>186291</v>
      </c>
      <c r="H375" s="133">
        <v>525093</v>
      </c>
      <c r="I375" s="153">
        <v>393819</v>
      </c>
      <c r="J375" s="153">
        <v>328182</v>
      </c>
      <c r="K375" s="154">
        <v>196911</v>
      </c>
      <c r="L375" s="155"/>
      <c r="W375" s="109"/>
      <c r="X375" s="109"/>
      <c r="Y375" s="350"/>
      <c r="Z375" s="350"/>
      <c r="AA375" s="350"/>
      <c r="AB375" s="350"/>
      <c r="AC375" s="350"/>
      <c r="AD375" s="350"/>
    </row>
    <row r="376" spans="1:30" s="159" customFormat="1">
      <c r="B376" s="1127"/>
      <c r="C376" s="201">
        <v>3</v>
      </c>
      <c r="D376" s="133">
        <v>504219</v>
      </c>
      <c r="E376" s="134">
        <v>378165</v>
      </c>
      <c r="F376" s="134">
        <v>315138</v>
      </c>
      <c r="G376" s="135">
        <v>189081</v>
      </c>
      <c r="H376" s="133">
        <v>532959</v>
      </c>
      <c r="I376" s="153">
        <v>399720</v>
      </c>
      <c r="J376" s="153">
        <v>333099</v>
      </c>
      <c r="K376" s="154">
        <v>199860</v>
      </c>
      <c r="L376" s="155"/>
      <c r="W376" s="109"/>
      <c r="X376" s="109"/>
      <c r="Y376" s="350"/>
      <c r="Z376" s="350"/>
      <c r="AA376" s="350"/>
      <c r="AB376" s="350"/>
      <c r="AC376" s="350"/>
      <c r="AD376" s="350"/>
    </row>
    <row r="377" spans="1:30" s="159" customFormat="1">
      <c r="B377" s="1127"/>
      <c r="C377" s="201">
        <v>4</v>
      </c>
      <c r="D377" s="133">
        <v>511782</v>
      </c>
      <c r="E377" s="134">
        <v>383838</v>
      </c>
      <c r="F377" s="134">
        <v>319863</v>
      </c>
      <c r="G377" s="135">
        <v>191919</v>
      </c>
      <c r="H377" s="133">
        <v>540954</v>
      </c>
      <c r="I377" s="153">
        <v>405717</v>
      </c>
      <c r="J377" s="153">
        <v>338097</v>
      </c>
      <c r="K377" s="154">
        <v>202857</v>
      </c>
      <c r="L377" s="155"/>
      <c r="W377" s="109"/>
      <c r="X377" s="109"/>
      <c r="Y377" s="350"/>
      <c r="Z377" s="350"/>
      <c r="AA377" s="350"/>
      <c r="AB377" s="350"/>
      <c r="AC377" s="350"/>
      <c r="AD377" s="350"/>
    </row>
    <row r="378" spans="1:30" s="159" customFormat="1">
      <c r="B378" s="1127"/>
      <c r="C378" s="201">
        <v>5</v>
      </c>
      <c r="D378" s="133">
        <v>519456</v>
      </c>
      <c r="E378" s="134">
        <v>389592</v>
      </c>
      <c r="F378" s="134">
        <v>324660</v>
      </c>
      <c r="G378" s="135">
        <v>194796</v>
      </c>
      <c r="H378" s="133">
        <v>549066</v>
      </c>
      <c r="I378" s="153">
        <v>411801</v>
      </c>
      <c r="J378" s="153">
        <v>343167</v>
      </c>
      <c r="K378" s="154">
        <v>205899</v>
      </c>
      <c r="L378" s="155"/>
      <c r="W378" s="109"/>
      <c r="X378" s="109"/>
      <c r="Y378" s="350"/>
      <c r="Z378" s="350"/>
      <c r="AA378" s="350"/>
      <c r="AB378" s="350"/>
      <c r="AC378" s="350"/>
      <c r="AD378" s="350"/>
    </row>
    <row r="379" spans="1:30" s="159" customFormat="1">
      <c r="B379" s="1127"/>
      <c r="C379" s="201">
        <v>6</v>
      </c>
      <c r="D379" s="133">
        <v>527253</v>
      </c>
      <c r="E379" s="134">
        <v>395439</v>
      </c>
      <c r="F379" s="134">
        <v>329532</v>
      </c>
      <c r="G379" s="135">
        <v>197721</v>
      </c>
      <c r="H379" s="133">
        <v>557307</v>
      </c>
      <c r="I379" s="153">
        <v>417981</v>
      </c>
      <c r="J379" s="153">
        <v>348318</v>
      </c>
      <c r="K379" s="154">
        <v>208989</v>
      </c>
      <c r="L379" s="155"/>
      <c r="W379" s="109"/>
      <c r="X379" s="109"/>
      <c r="Y379" s="350"/>
      <c r="Z379" s="350"/>
      <c r="AA379" s="350"/>
      <c r="AB379" s="350"/>
      <c r="AC379" s="350"/>
      <c r="AD379" s="350"/>
    </row>
    <row r="380" spans="1:30" s="159" customFormat="1">
      <c r="B380" s="1127"/>
      <c r="C380" s="201">
        <v>7</v>
      </c>
      <c r="D380" s="133">
        <v>535164</v>
      </c>
      <c r="E380" s="134">
        <v>401373</v>
      </c>
      <c r="F380" s="134">
        <v>334479</v>
      </c>
      <c r="G380" s="135">
        <v>200688</v>
      </c>
      <c r="H380" s="133">
        <v>565668</v>
      </c>
      <c r="I380" s="153">
        <v>424251</v>
      </c>
      <c r="J380" s="153">
        <v>353544</v>
      </c>
      <c r="K380" s="154">
        <v>212127</v>
      </c>
      <c r="L380" s="155"/>
      <c r="W380" s="109"/>
      <c r="X380" s="109"/>
      <c r="Y380" s="350"/>
      <c r="Z380" s="350"/>
      <c r="AA380" s="350"/>
      <c r="AB380" s="350"/>
      <c r="AC380" s="350"/>
      <c r="AD380" s="350"/>
    </row>
    <row r="381" spans="1:30" s="159" customFormat="1" ht="14.4" thickBot="1">
      <c r="B381" s="1128"/>
      <c r="C381" s="202">
        <v>8</v>
      </c>
      <c r="D381" s="133">
        <v>543195</v>
      </c>
      <c r="E381" s="134">
        <v>407397</v>
      </c>
      <c r="F381" s="134">
        <v>339498</v>
      </c>
      <c r="G381" s="135">
        <v>203697</v>
      </c>
      <c r="H381" s="139">
        <v>574158</v>
      </c>
      <c r="I381" s="203">
        <v>430620</v>
      </c>
      <c r="J381" s="203">
        <v>358848</v>
      </c>
      <c r="K381" s="204">
        <v>215310</v>
      </c>
      <c r="L381" s="155"/>
      <c r="W381" s="109"/>
      <c r="X381" s="109"/>
      <c r="Y381" s="350"/>
      <c r="Z381" s="350"/>
      <c r="AA381" s="350"/>
      <c r="AB381" s="350"/>
      <c r="AC381" s="350"/>
      <c r="AD381" s="350"/>
    </row>
    <row r="382" spans="1:30" s="159" customFormat="1">
      <c r="A382" s="159">
        <v>27</v>
      </c>
      <c r="B382" s="1126" t="s">
        <v>1083</v>
      </c>
      <c r="C382" s="198">
        <v>1</v>
      </c>
      <c r="D382" s="127">
        <v>559611</v>
      </c>
      <c r="E382" s="128">
        <v>419709</v>
      </c>
      <c r="F382" s="128">
        <v>349758</v>
      </c>
      <c r="G382" s="129">
        <v>209853</v>
      </c>
      <c r="H382" s="127">
        <v>591510</v>
      </c>
      <c r="I382" s="199">
        <v>443634</v>
      </c>
      <c r="J382" s="199">
        <v>369693</v>
      </c>
      <c r="K382" s="200">
        <v>221817</v>
      </c>
      <c r="L382" s="155"/>
      <c r="W382" s="109"/>
      <c r="X382" s="109"/>
      <c r="Y382" s="350"/>
      <c r="Z382" s="350"/>
      <c r="AA382" s="350"/>
      <c r="AB382" s="350"/>
      <c r="AC382" s="350"/>
      <c r="AD382" s="350"/>
    </row>
    <row r="383" spans="1:30" s="159" customFormat="1">
      <c r="B383" s="1127"/>
      <c r="C383" s="201">
        <v>2</v>
      </c>
      <c r="D383" s="133">
        <v>567999</v>
      </c>
      <c r="E383" s="134">
        <v>426000</v>
      </c>
      <c r="F383" s="134">
        <v>354999</v>
      </c>
      <c r="G383" s="135">
        <v>213000</v>
      </c>
      <c r="H383" s="133">
        <v>600375</v>
      </c>
      <c r="I383" s="153">
        <v>450282</v>
      </c>
      <c r="J383" s="153">
        <v>375234</v>
      </c>
      <c r="K383" s="154">
        <v>225141</v>
      </c>
      <c r="L383" s="155"/>
      <c r="W383" s="109"/>
      <c r="X383" s="109"/>
      <c r="Y383" s="350"/>
      <c r="Z383" s="350"/>
      <c r="AA383" s="350"/>
      <c r="AB383" s="350"/>
      <c r="AC383" s="350"/>
      <c r="AD383" s="350"/>
    </row>
    <row r="384" spans="1:30" s="159" customFormat="1">
      <c r="B384" s="1127"/>
      <c r="C384" s="201">
        <v>3</v>
      </c>
      <c r="D384" s="133">
        <v>576513</v>
      </c>
      <c r="E384" s="134">
        <v>432384</v>
      </c>
      <c r="F384" s="134">
        <v>360321</v>
      </c>
      <c r="G384" s="135">
        <v>216192</v>
      </c>
      <c r="H384" s="133">
        <v>609375</v>
      </c>
      <c r="I384" s="153">
        <v>457032</v>
      </c>
      <c r="J384" s="153">
        <v>380859</v>
      </c>
      <c r="K384" s="154">
        <v>228516</v>
      </c>
      <c r="L384" s="155"/>
      <c r="W384" s="109"/>
      <c r="X384" s="109"/>
      <c r="Y384" s="350"/>
      <c r="Z384" s="350"/>
      <c r="AA384" s="350"/>
      <c r="AB384" s="350"/>
      <c r="AC384" s="350"/>
      <c r="AD384" s="350"/>
    </row>
    <row r="385" spans="1:30" s="159" customFormat="1">
      <c r="B385" s="1127"/>
      <c r="C385" s="201">
        <v>4</v>
      </c>
      <c r="D385" s="133">
        <v>585168</v>
      </c>
      <c r="E385" s="134">
        <v>438876</v>
      </c>
      <c r="F385" s="134">
        <v>365730</v>
      </c>
      <c r="G385" s="135">
        <v>219438</v>
      </c>
      <c r="H385" s="133">
        <v>618522</v>
      </c>
      <c r="I385" s="153">
        <v>463893</v>
      </c>
      <c r="J385" s="153">
        <v>386577</v>
      </c>
      <c r="K385" s="154">
        <v>231945</v>
      </c>
      <c r="L385" s="155"/>
      <c r="W385" s="109"/>
      <c r="X385" s="109"/>
      <c r="Y385" s="350"/>
      <c r="Z385" s="350"/>
      <c r="AA385" s="350"/>
      <c r="AB385" s="350"/>
      <c r="AC385" s="350"/>
      <c r="AD385" s="350"/>
    </row>
    <row r="386" spans="1:30" s="159" customFormat="1">
      <c r="B386" s="1127"/>
      <c r="C386" s="201">
        <v>5</v>
      </c>
      <c r="D386" s="133">
        <v>593940</v>
      </c>
      <c r="E386" s="134">
        <v>445455</v>
      </c>
      <c r="F386" s="134">
        <v>371214</v>
      </c>
      <c r="G386" s="135">
        <v>222729</v>
      </c>
      <c r="H386" s="133">
        <v>627795</v>
      </c>
      <c r="I386" s="153">
        <v>470847</v>
      </c>
      <c r="J386" s="153">
        <v>392373</v>
      </c>
      <c r="K386" s="154">
        <v>235422</v>
      </c>
      <c r="L386" s="155"/>
      <c r="W386" s="109"/>
      <c r="X386" s="109"/>
      <c r="Y386" s="350"/>
      <c r="Z386" s="350"/>
      <c r="AA386" s="350"/>
      <c r="AB386" s="350"/>
      <c r="AC386" s="350"/>
      <c r="AD386" s="350"/>
    </row>
    <row r="387" spans="1:30" s="159" customFormat="1">
      <c r="B387" s="1127"/>
      <c r="C387" s="201">
        <v>6</v>
      </c>
      <c r="D387" s="133">
        <v>602856</v>
      </c>
      <c r="E387" s="134">
        <v>452142</v>
      </c>
      <c r="F387" s="134">
        <v>376785</v>
      </c>
      <c r="G387" s="135">
        <v>226071</v>
      </c>
      <c r="H387" s="133">
        <v>637218</v>
      </c>
      <c r="I387" s="153">
        <v>477915</v>
      </c>
      <c r="J387" s="153">
        <v>398262</v>
      </c>
      <c r="K387" s="154">
        <v>238956</v>
      </c>
      <c r="L387" s="155"/>
      <c r="W387" s="109"/>
      <c r="X387" s="109"/>
      <c r="Y387" s="350"/>
      <c r="Z387" s="350"/>
      <c r="AA387" s="350"/>
      <c r="AB387" s="350"/>
      <c r="AC387" s="350"/>
      <c r="AD387" s="350"/>
    </row>
    <row r="388" spans="1:30" s="159" customFormat="1">
      <c r="B388" s="1127"/>
      <c r="C388" s="201">
        <v>7</v>
      </c>
      <c r="D388" s="133">
        <v>611901</v>
      </c>
      <c r="E388" s="134">
        <v>458925</v>
      </c>
      <c r="F388" s="134">
        <v>382437</v>
      </c>
      <c r="G388" s="135">
        <v>229464</v>
      </c>
      <c r="H388" s="133">
        <v>646779</v>
      </c>
      <c r="I388" s="153">
        <v>485085</v>
      </c>
      <c r="J388" s="153">
        <v>404238</v>
      </c>
      <c r="K388" s="154">
        <v>242541</v>
      </c>
      <c r="L388" s="155"/>
      <c r="W388" s="109"/>
      <c r="X388" s="109"/>
      <c r="Y388" s="350"/>
      <c r="Z388" s="350"/>
      <c r="AA388" s="350"/>
      <c r="AB388" s="350"/>
      <c r="AC388" s="350"/>
      <c r="AD388" s="350"/>
    </row>
    <row r="389" spans="1:30" s="159" customFormat="1" ht="14.4" thickBot="1">
      <c r="B389" s="1128"/>
      <c r="C389" s="202">
        <v>8</v>
      </c>
      <c r="D389" s="139">
        <v>621069</v>
      </c>
      <c r="E389" s="140">
        <v>465801</v>
      </c>
      <c r="F389" s="140">
        <v>388167</v>
      </c>
      <c r="G389" s="146">
        <v>232902</v>
      </c>
      <c r="H389" s="139">
        <v>656469</v>
      </c>
      <c r="I389" s="203">
        <v>492351</v>
      </c>
      <c r="J389" s="203">
        <v>410292</v>
      </c>
      <c r="K389" s="204">
        <v>246177</v>
      </c>
      <c r="L389" s="155"/>
      <c r="W389" s="109"/>
      <c r="X389" s="109"/>
      <c r="Y389" s="350"/>
      <c r="Z389" s="350"/>
      <c r="AA389" s="350"/>
      <c r="AB389" s="350"/>
      <c r="AC389" s="350"/>
      <c r="AD389" s="350"/>
    </row>
    <row r="390" spans="1:30" s="159" customFormat="1" ht="14.4" thickBot="1">
      <c r="B390" s="1126" t="s">
        <v>1084</v>
      </c>
      <c r="C390" s="207"/>
      <c r="D390" s="1129" t="s">
        <v>1035</v>
      </c>
      <c r="E390" s="1130"/>
      <c r="F390" s="1130"/>
      <c r="G390" s="1131"/>
      <c r="H390" s="1159" t="s">
        <v>1035</v>
      </c>
      <c r="I390" s="1160"/>
      <c r="J390" s="1160"/>
      <c r="K390" s="1161"/>
      <c r="W390" s="109"/>
      <c r="X390" s="109"/>
      <c r="Y390" s="350"/>
      <c r="Z390" s="350"/>
      <c r="AA390" s="350"/>
      <c r="AB390" s="350"/>
      <c r="AC390" s="350"/>
      <c r="AD390" s="350"/>
    </row>
    <row r="391" spans="1:30" s="159" customFormat="1">
      <c r="A391" s="159">
        <v>28</v>
      </c>
      <c r="B391" s="1127"/>
      <c r="C391" s="198">
        <v>1</v>
      </c>
      <c r="D391" s="127">
        <v>815169</v>
      </c>
      <c r="E391" s="128">
        <v>611376</v>
      </c>
      <c r="F391" s="128">
        <v>509481</v>
      </c>
      <c r="G391" s="129">
        <v>305688</v>
      </c>
      <c r="H391" s="127">
        <v>857559</v>
      </c>
      <c r="I391" s="199">
        <v>643170</v>
      </c>
      <c r="J391" s="199">
        <v>535974</v>
      </c>
      <c r="K391" s="200">
        <v>321585</v>
      </c>
      <c r="L391" s="155"/>
      <c r="W391" s="109"/>
      <c r="X391" s="109"/>
      <c r="Y391" s="350"/>
      <c r="Z391" s="350"/>
      <c r="AA391" s="350"/>
      <c r="AB391" s="350"/>
      <c r="AC391" s="350"/>
      <c r="AD391" s="350"/>
    </row>
    <row r="392" spans="1:30" s="159" customFormat="1">
      <c r="B392" s="1127"/>
      <c r="C392" s="201">
        <v>2</v>
      </c>
      <c r="D392" s="133">
        <v>827400</v>
      </c>
      <c r="E392" s="134">
        <v>620550</v>
      </c>
      <c r="F392" s="134">
        <v>517125</v>
      </c>
      <c r="G392" s="135">
        <v>310275</v>
      </c>
      <c r="H392" s="133">
        <v>870426</v>
      </c>
      <c r="I392" s="153">
        <v>652821</v>
      </c>
      <c r="J392" s="153">
        <v>544017</v>
      </c>
      <c r="K392" s="154">
        <v>326409</v>
      </c>
      <c r="L392" s="155"/>
      <c r="W392" s="109"/>
      <c r="X392" s="109"/>
      <c r="Y392" s="350"/>
      <c r="Z392" s="350"/>
      <c r="AA392" s="350"/>
      <c r="AB392" s="350"/>
      <c r="AC392" s="350"/>
      <c r="AD392" s="350"/>
    </row>
    <row r="393" spans="1:30" s="159" customFormat="1">
      <c r="B393" s="1127"/>
      <c r="C393" s="201">
        <v>3</v>
      </c>
      <c r="D393" s="133">
        <v>839817</v>
      </c>
      <c r="E393" s="134">
        <v>629862</v>
      </c>
      <c r="F393" s="134">
        <v>524886</v>
      </c>
      <c r="G393" s="135">
        <v>314931</v>
      </c>
      <c r="H393" s="133">
        <v>883488</v>
      </c>
      <c r="I393" s="153">
        <v>662616</v>
      </c>
      <c r="J393" s="153">
        <v>552180</v>
      </c>
      <c r="K393" s="154">
        <v>331308</v>
      </c>
      <c r="L393" s="155"/>
      <c r="W393" s="109"/>
      <c r="X393" s="109"/>
      <c r="Y393" s="350"/>
      <c r="Z393" s="350"/>
      <c r="AA393" s="350"/>
      <c r="AB393" s="350"/>
      <c r="AC393" s="350"/>
      <c r="AD393" s="350"/>
    </row>
    <row r="394" spans="1:30" s="159" customFormat="1">
      <c r="B394" s="1127"/>
      <c r="C394" s="201">
        <v>4</v>
      </c>
      <c r="D394" s="133">
        <v>852417</v>
      </c>
      <c r="E394" s="134">
        <v>639312</v>
      </c>
      <c r="F394" s="134">
        <v>532761</v>
      </c>
      <c r="G394" s="135">
        <v>319656</v>
      </c>
      <c r="H394" s="133">
        <v>896742</v>
      </c>
      <c r="I394" s="153">
        <v>672558</v>
      </c>
      <c r="J394" s="153">
        <v>560463</v>
      </c>
      <c r="K394" s="154">
        <v>336279</v>
      </c>
      <c r="L394" s="155"/>
      <c r="W394" s="109"/>
      <c r="X394" s="109"/>
      <c r="Y394" s="350"/>
      <c r="Z394" s="350"/>
      <c r="AA394" s="350"/>
      <c r="AB394" s="350"/>
      <c r="AC394" s="350"/>
      <c r="AD394" s="350"/>
    </row>
    <row r="395" spans="1:30" s="159" customFormat="1">
      <c r="B395" s="1127"/>
      <c r="C395" s="201">
        <v>5</v>
      </c>
      <c r="D395" s="133">
        <v>865200</v>
      </c>
      <c r="E395" s="134">
        <v>648900</v>
      </c>
      <c r="F395" s="134">
        <v>540750</v>
      </c>
      <c r="G395" s="135">
        <v>324450</v>
      </c>
      <c r="H395" s="133">
        <v>910191</v>
      </c>
      <c r="I395" s="153">
        <v>682644</v>
      </c>
      <c r="J395" s="153">
        <v>568869</v>
      </c>
      <c r="K395" s="154">
        <v>341322</v>
      </c>
      <c r="L395" s="155"/>
      <c r="W395" s="109"/>
      <c r="X395" s="109"/>
      <c r="Y395" s="350"/>
      <c r="Z395" s="350"/>
      <c r="AA395" s="350"/>
      <c r="AB395" s="350"/>
      <c r="AC395" s="350"/>
      <c r="AD395" s="350"/>
    </row>
    <row r="396" spans="1:30" s="159" customFormat="1">
      <c r="B396" s="1127"/>
      <c r="C396" s="201">
        <v>6</v>
      </c>
      <c r="D396" s="133">
        <v>878181</v>
      </c>
      <c r="E396" s="134">
        <v>658635</v>
      </c>
      <c r="F396" s="134">
        <v>548862</v>
      </c>
      <c r="G396" s="135">
        <v>329319</v>
      </c>
      <c r="H396" s="133">
        <v>923847</v>
      </c>
      <c r="I396" s="153">
        <v>692886</v>
      </c>
      <c r="J396" s="153">
        <v>577404</v>
      </c>
      <c r="K396" s="154">
        <v>346443</v>
      </c>
      <c r="L396" s="155"/>
      <c r="W396" s="109"/>
      <c r="X396" s="109"/>
      <c r="Y396" s="350"/>
      <c r="Z396" s="350"/>
      <c r="AA396" s="350"/>
      <c r="AB396" s="350"/>
      <c r="AC396" s="350"/>
      <c r="AD396" s="350"/>
    </row>
    <row r="397" spans="1:30" s="159" customFormat="1">
      <c r="B397" s="1127"/>
      <c r="C397" s="201">
        <v>7</v>
      </c>
      <c r="D397" s="133">
        <v>891348</v>
      </c>
      <c r="E397" s="134">
        <v>668511</v>
      </c>
      <c r="F397" s="134">
        <v>557094</v>
      </c>
      <c r="G397" s="135">
        <v>334257</v>
      </c>
      <c r="H397" s="133">
        <v>937698</v>
      </c>
      <c r="I397" s="153">
        <v>703275</v>
      </c>
      <c r="J397" s="153">
        <v>586062</v>
      </c>
      <c r="K397" s="154">
        <v>351636</v>
      </c>
      <c r="L397" s="155"/>
      <c r="W397" s="109"/>
      <c r="X397" s="109"/>
      <c r="Y397" s="350"/>
      <c r="Z397" s="350"/>
      <c r="AA397" s="350"/>
      <c r="AB397" s="350"/>
      <c r="AC397" s="350"/>
      <c r="AD397" s="350"/>
    </row>
    <row r="398" spans="1:30" s="159" customFormat="1" ht="14.4" thickBot="1">
      <c r="B398" s="1128"/>
      <c r="C398" s="202">
        <v>8</v>
      </c>
      <c r="D398" s="133">
        <v>904719</v>
      </c>
      <c r="E398" s="134">
        <v>678540</v>
      </c>
      <c r="F398" s="134">
        <v>565449</v>
      </c>
      <c r="G398" s="135">
        <v>339270</v>
      </c>
      <c r="H398" s="139">
        <v>951765</v>
      </c>
      <c r="I398" s="203">
        <v>713823</v>
      </c>
      <c r="J398" s="203">
        <v>594852</v>
      </c>
      <c r="K398" s="204">
        <v>356913</v>
      </c>
      <c r="L398" s="155"/>
      <c r="W398" s="109"/>
      <c r="X398" s="109"/>
      <c r="Y398" s="350"/>
      <c r="Z398" s="350"/>
      <c r="AA398" s="350"/>
      <c r="AB398" s="350"/>
      <c r="AC398" s="350"/>
      <c r="AD398" s="350"/>
    </row>
    <row r="399" spans="1:30" s="159" customFormat="1">
      <c r="A399" s="159">
        <v>29</v>
      </c>
      <c r="B399" s="1121" t="s">
        <v>1085</v>
      </c>
      <c r="C399" s="198">
        <v>1</v>
      </c>
      <c r="D399" s="127">
        <v>932058</v>
      </c>
      <c r="E399" s="128">
        <v>699045</v>
      </c>
      <c r="F399" s="128">
        <v>582537</v>
      </c>
      <c r="G399" s="129">
        <v>349521</v>
      </c>
      <c r="H399" s="127">
        <v>980526</v>
      </c>
      <c r="I399" s="199">
        <v>735396</v>
      </c>
      <c r="J399" s="199">
        <v>612828</v>
      </c>
      <c r="K399" s="200">
        <v>367698</v>
      </c>
      <c r="L399" s="155"/>
      <c r="W399" s="109"/>
      <c r="X399" s="109"/>
      <c r="Y399" s="350"/>
      <c r="Z399" s="350"/>
      <c r="AA399" s="350"/>
      <c r="AB399" s="350"/>
      <c r="AC399" s="350"/>
      <c r="AD399" s="350"/>
    </row>
    <row r="400" spans="1:30" s="159" customFormat="1">
      <c r="B400" s="1122"/>
      <c r="C400" s="201">
        <v>2</v>
      </c>
      <c r="D400" s="133">
        <v>946044</v>
      </c>
      <c r="E400" s="134">
        <v>709533</v>
      </c>
      <c r="F400" s="134">
        <v>591279</v>
      </c>
      <c r="G400" s="135">
        <v>354768</v>
      </c>
      <c r="H400" s="133">
        <v>995238</v>
      </c>
      <c r="I400" s="153">
        <v>746430</v>
      </c>
      <c r="J400" s="153">
        <v>622023</v>
      </c>
      <c r="K400" s="154">
        <v>373215</v>
      </c>
      <c r="L400" s="155"/>
      <c r="W400" s="109"/>
      <c r="X400" s="109"/>
      <c r="Y400" s="350"/>
      <c r="Z400" s="350"/>
      <c r="AA400" s="350"/>
      <c r="AB400" s="350"/>
      <c r="AC400" s="350"/>
      <c r="AD400" s="350"/>
    </row>
    <row r="401" spans="2:30" s="159" customFormat="1">
      <c r="B401" s="1122"/>
      <c r="C401" s="201">
        <v>3</v>
      </c>
      <c r="D401" s="133">
        <v>960225</v>
      </c>
      <c r="E401" s="134">
        <v>720168</v>
      </c>
      <c r="F401" s="134">
        <v>600141</v>
      </c>
      <c r="G401" s="135">
        <v>360084</v>
      </c>
      <c r="H401" s="133">
        <v>1010157</v>
      </c>
      <c r="I401" s="153">
        <v>757617</v>
      </c>
      <c r="J401" s="153">
        <v>631347</v>
      </c>
      <c r="K401" s="154">
        <v>378810</v>
      </c>
      <c r="L401" s="155"/>
      <c r="W401" s="109"/>
      <c r="X401" s="109"/>
      <c r="Y401" s="350"/>
      <c r="Z401" s="350"/>
      <c r="AA401" s="350"/>
      <c r="AB401" s="350"/>
      <c r="AC401" s="350"/>
      <c r="AD401" s="350"/>
    </row>
    <row r="402" spans="2:30" s="159" customFormat="1">
      <c r="B402" s="1122"/>
      <c r="C402" s="201">
        <v>4</v>
      </c>
      <c r="D402" s="133">
        <v>974634</v>
      </c>
      <c r="E402" s="134">
        <v>730977</v>
      </c>
      <c r="F402" s="134">
        <v>609147</v>
      </c>
      <c r="G402" s="135">
        <v>365487</v>
      </c>
      <c r="H402" s="133">
        <v>1025316</v>
      </c>
      <c r="I402" s="153">
        <v>768987</v>
      </c>
      <c r="J402" s="153">
        <v>640824</v>
      </c>
      <c r="K402" s="154">
        <v>384495</v>
      </c>
      <c r="L402" s="155"/>
      <c r="W402" s="109"/>
      <c r="X402" s="109"/>
      <c r="Y402" s="350"/>
      <c r="Z402" s="350"/>
      <c r="AA402" s="350"/>
      <c r="AB402" s="350"/>
      <c r="AC402" s="350"/>
      <c r="AD402" s="350"/>
    </row>
    <row r="403" spans="2:30" s="159" customFormat="1">
      <c r="B403" s="1122"/>
      <c r="C403" s="201">
        <v>5</v>
      </c>
      <c r="D403" s="133">
        <v>989247</v>
      </c>
      <c r="E403" s="134">
        <v>741936</v>
      </c>
      <c r="F403" s="134">
        <v>618279</v>
      </c>
      <c r="G403" s="135">
        <v>370968</v>
      </c>
      <c r="H403" s="133">
        <v>1040688</v>
      </c>
      <c r="I403" s="153">
        <v>780516</v>
      </c>
      <c r="J403" s="153">
        <v>650430</v>
      </c>
      <c r="K403" s="154">
        <v>390258</v>
      </c>
      <c r="L403" s="155"/>
      <c r="W403" s="109"/>
      <c r="X403" s="109"/>
      <c r="Y403" s="350"/>
      <c r="Z403" s="350"/>
      <c r="AA403" s="350"/>
      <c r="AB403" s="350"/>
      <c r="AC403" s="350"/>
      <c r="AD403" s="350"/>
    </row>
    <row r="404" spans="2:30" s="159" customFormat="1">
      <c r="B404" s="1122"/>
      <c r="C404" s="201">
        <v>6</v>
      </c>
      <c r="D404" s="133">
        <v>1004091</v>
      </c>
      <c r="E404" s="134">
        <v>753069</v>
      </c>
      <c r="F404" s="134">
        <v>627558</v>
      </c>
      <c r="G404" s="135">
        <v>376533</v>
      </c>
      <c r="H404" s="133">
        <v>1056303</v>
      </c>
      <c r="I404" s="153">
        <v>792228</v>
      </c>
      <c r="J404" s="153">
        <v>660189</v>
      </c>
      <c r="K404" s="154">
        <v>396114</v>
      </c>
      <c r="L404" s="155"/>
      <c r="W404" s="109"/>
      <c r="X404" s="109"/>
      <c r="Y404" s="350"/>
      <c r="Z404" s="350"/>
      <c r="AA404" s="350"/>
      <c r="AB404" s="350"/>
      <c r="AC404" s="350"/>
      <c r="AD404" s="350"/>
    </row>
    <row r="405" spans="2:30" s="159" customFormat="1">
      <c r="B405" s="1122"/>
      <c r="C405" s="201">
        <v>7</v>
      </c>
      <c r="D405" s="133">
        <v>1019154</v>
      </c>
      <c r="E405" s="134">
        <v>764367</v>
      </c>
      <c r="F405" s="134">
        <v>636972</v>
      </c>
      <c r="G405" s="135">
        <v>382182</v>
      </c>
      <c r="H405" s="133">
        <v>1072149</v>
      </c>
      <c r="I405" s="153">
        <v>804111</v>
      </c>
      <c r="J405" s="153">
        <v>670092</v>
      </c>
      <c r="K405" s="154">
        <v>402057</v>
      </c>
      <c r="L405" s="155"/>
      <c r="W405" s="109"/>
      <c r="X405" s="109"/>
      <c r="Y405" s="350"/>
      <c r="Z405" s="350"/>
      <c r="AA405" s="350"/>
      <c r="AB405" s="350"/>
      <c r="AC405" s="350"/>
      <c r="AD405" s="350"/>
    </row>
    <row r="406" spans="2:30" s="159" customFormat="1">
      <c r="B406" s="1122"/>
      <c r="C406" s="201">
        <v>8</v>
      </c>
      <c r="D406" s="133">
        <v>1034442</v>
      </c>
      <c r="E406" s="134">
        <v>775833</v>
      </c>
      <c r="F406" s="134">
        <v>646527</v>
      </c>
      <c r="G406" s="135">
        <v>387915</v>
      </c>
      <c r="H406" s="133">
        <v>1088232</v>
      </c>
      <c r="I406" s="153">
        <v>816174</v>
      </c>
      <c r="J406" s="153">
        <v>680145</v>
      </c>
      <c r="K406" s="154">
        <v>408087</v>
      </c>
      <c r="L406" s="155"/>
      <c r="W406" s="109"/>
      <c r="X406" s="109"/>
      <c r="Y406" s="350"/>
      <c r="Z406" s="350"/>
      <c r="AA406" s="350"/>
      <c r="AB406" s="350"/>
      <c r="AC406" s="350"/>
      <c r="AD406" s="350"/>
    </row>
    <row r="407" spans="2:30" s="159" customFormat="1">
      <c r="B407" s="1122"/>
      <c r="C407" s="201">
        <v>9</v>
      </c>
      <c r="D407" s="133">
        <v>1049952</v>
      </c>
      <c r="E407" s="134">
        <v>787464</v>
      </c>
      <c r="F407" s="134">
        <v>656220</v>
      </c>
      <c r="G407" s="135">
        <v>393732</v>
      </c>
      <c r="H407" s="133">
        <v>1104549</v>
      </c>
      <c r="I407" s="153">
        <v>828411</v>
      </c>
      <c r="J407" s="153">
        <v>690342</v>
      </c>
      <c r="K407" s="154">
        <v>414207</v>
      </c>
      <c r="L407" s="155"/>
      <c r="W407" s="109"/>
      <c r="X407" s="109"/>
      <c r="Y407" s="350"/>
      <c r="Z407" s="350"/>
      <c r="AA407" s="350"/>
      <c r="AB407" s="350"/>
      <c r="AC407" s="350"/>
      <c r="AD407" s="350"/>
    </row>
    <row r="408" spans="2:30" s="159" customFormat="1" ht="14.4" thickBot="1">
      <c r="B408" s="1122"/>
      <c r="C408" s="201">
        <v>10</v>
      </c>
      <c r="D408" s="133">
        <v>1065705</v>
      </c>
      <c r="E408" s="134">
        <v>799278</v>
      </c>
      <c r="F408" s="134">
        <v>666066</v>
      </c>
      <c r="G408" s="135">
        <v>399639</v>
      </c>
      <c r="H408" s="133">
        <v>1121121</v>
      </c>
      <c r="I408" s="153">
        <v>840840</v>
      </c>
      <c r="J408" s="153">
        <v>700701</v>
      </c>
      <c r="K408" s="204">
        <v>420420</v>
      </c>
      <c r="L408" s="155"/>
      <c r="W408" s="109"/>
      <c r="X408" s="109"/>
      <c r="Y408" s="350"/>
      <c r="Z408" s="350"/>
      <c r="AA408" s="350"/>
      <c r="AB408" s="350"/>
      <c r="AC408" s="350"/>
      <c r="AD408" s="350"/>
    </row>
    <row r="409" spans="2:30" s="159" customFormat="1">
      <c r="B409" s="343"/>
      <c r="C409" s="344"/>
      <c r="D409" s="345"/>
      <c r="E409" s="346"/>
      <c r="F409" s="346"/>
      <c r="G409" s="346"/>
      <c r="H409" s="347"/>
      <c r="I409" s="156"/>
      <c r="J409" s="156"/>
      <c r="K409" s="156"/>
      <c r="L409" s="155"/>
      <c r="W409" s="109"/>
      <c r="X409" s="109"/>
      <c r="Y409" s="350"/>
      <c r="Z409" s="350"/>
      <c r="AA409" s="350"/>
      <c r="AB409" s="350"/>
      <c r="AC409" s="350"/>
      <c r="AD409" s="350"/>
    </row>
    <row r="410" spans="2:30">
      <c r="B410" s="322"/>
      <c r="C410" s="322"/>
      <c r="D410" s="348"/>
      <c r="E410" s="322"/>
      <c r="F410" s="322"/>
      <c r="G410" s="322"/>
      <c r="H410" s="348"/>
      <c r="Y410" s="231" t="s">
        <v>1131</v>
      </c>
    </row>
    <row r="411" spans="2:30" ht="16.2" thickBot="1">
      <c r="B411" s="1105" t="s">
        <v>1223</v>
      </c>
      <c r="C411" s="1105"/>
      <c r="D411" s="1105"/>
      <c r="E411" s="1105"/>
      <c r="F411" s="1105"/>
      <c r="G411" s="1105"/>
      <c r="H411" s="1105"/>
      <c r="I411" s="1105"/>
      <c r="J411" s="1105"/>
      <c r="K411" s="1105"/>
    </row>
    <row r="412" spans="2:30" ht="28.2" thickBot="1">
      <c r="B412" s="1106"/>
      <c r="C412" s="1109"/>
      <c r="D412" s="1112" t="s">
        <v>1219</v>
      </c>
      <c r="E412" s="1113"/>
      <c r="F412" s="1113"/>
      <c r="G412" s="1114"/>
      <c r="H412" s="1112" t="s">
        <v>1220</v>
      </c>
      <c r="I412" s="1113"/>
      <c r="J412" s="1113"/>
      <c r="K412" s="1114"/>
      <c r="Y412" s="357" t="s">
        <v>1206</v>
      </c>
      <c r="Z412" s="359" t="s">
        <v>1206</v>
      </c>
      <c r="AA412" s="359" t="s">
        <v>1206</v>
      </c>
      <c r="AB412" s="359" t="s">
        <v>1207</v>
      </c>
      <c r="AC412" s="366" t="s">
        <v>1208</v>
      </c>
      <c r="AD412" s="354" t="str">
        <f>"Total annual cost ("&amp;currency_enter&amp;")"</f>
        <v>Total annual cost ()</v>
      </c>
    </row>
    <row r="413" spans="2:30" ht="14.4" thickBot="1">
      <c r="B413" s="1107"/>
      <c r="C413" s="1110"/>
      <c r="D413" s="1115" t="s">
        <v>1221</v>
      </c>
      <c r="E413" s="1117" t="s">
        <v>1222</v>
      </c>
      <c r="F413" s="1118"/>
      <c r="G413" s="1119"/>
      <c r="H413" s="1115" t="s">
        <v>1221</v>
      </c>
      <c r="I413" s="1117" t="s">
        <v>1222</v>
      </c>
      <c r="J413" s="1118"/>
      <c r="K413" s="1119"/>
      <c r="Y413" s="358" t="s">
        <v>1224</v>
      </c>
      <c r="Z413" s="361" t="s">
        <v>1225</v>
      </c>
      <c r="AA413" s="360" t="s">
        <v>1205</v>
      </c>
      <c r="AB413" s="360"/>
      <c r="AC413" s="355"/>
      <c r="AD413" s="356">
        <v>2019</v>
      </c>
    </row>
    <row r="414" spans="2:30" ht="14.4" thickBot="1">
      <c r="B414" s="1108"/>
      <c r="C414" s="1111"/>
      <c r="D414" s="1116"/>
      <c r="E414" s="385" t="s">
        <v>762</v>
      </c>
      <c r="F414" s="385" t="s">
        <v>763</v>
      </c>
      <c r="G414" s="385" t="s">
        <v>764</v>
      </c>
      <c r="H414" s="1120"/>
      <c r="I414" s="385" t="s">
        <v>762</v>
      </c>
      <c r="J414" s="385" t="s">
        <v>763</v>
      </c>
      <c r="K414" s="385" t="s">
        <v>764</v>
      </c>
    </row>
    <row r="415" spans="2:30">
      <c r="B415" s="1101">
        <v>1</v>
      </c>
      <c r="C415" s="386">
        <v>1</v>
      </c>
      <c r="D415" s="371">
        <v>89631</v>
      </c>
      <c r="E415" s="372">
        <v>67224</v>
      </c>
      <c r="F415" s="372">
        <v>56019</v>
      </c>
      <c r="G415" s="373">
        <v>33612</v>
      </c>
      <c r="H415" s="371">
        <v>95187</v>
      </c>
      <c r="I415" s="372">
        <v>71391</v>
      </c>
      <c r="J415" s="372">
        <v>59493</v>
      </c>
      <c r="K415" s="374">
        <v>35694</v>
      </c>
      <c r="W415" s="352" t="s">
        <v>1158</v>
      </c>
      <c r="Y415" s="365">
        <f>MEDIAN($H$415:$H$419)</f>
        <v>98064</v>
      </c>
      <c r="Z415" s="365">
        <f>MEDIAN($H$420:$H$431)</f>
        <v>111295.5</v>
      </c>
      <c r="AA415" s="365"/>
      <c r="AB415" s="365">
        <f t="shared" ref="AB415:AB420" si="26">AVERAGE(Y415:AA415)</f>
        <v>104679.75</v>
      </c>
      <c r="AC415" s="365">
        <f t="shared" ref="AC415:AC420" si="27">AB415*35%</f>
        <v>36637.912499999999</v>
      </c>
      <c r="AD415" s="365">
        <f t="shared" ref="AD415:AD420" si="28">SUM(AB415:AC415)</f>
        <v>141317.66250000001</v>
      </c>
    </row>
    <row r="416" spans="2:30">
      <c r="B416" s="1102"/>
      <c r="C416" s="387">
        <v>2</v>
      </c>
      <c r="D416" s="376">
        <v>90963</v>
      </c>
      <c r="E416" s="377">
        <v>68223</v>
      </c>
      <c r="F416" s="377">
        <v>56853</v>
      </c>
      <c r="G416" s="378">
        <v>34110</v>
      </c>
      <c r="H416" s="376">
        <v>96603</v>
      </c>
      <c r="I416" s="377">
        <v>72453</v>
      </c>
      <c r="J416" s="377">
        <v>60378</v>
      </c>
      <c r="K416" s="379">
        <v>36225</v>
      </c>
      <c r="W416" s="352" t="s">
        <v>1159</v>
      </c>
      <c r="Y416" s="365">
        <f>MEDIAN($H$415:$H$419)</f>
        <v>98064</v>
      </c>
      <c r="Z416" s="365">
        <f>MEDIAN($H$420:$H$431)</f>
        <v>111295.5</v>
      </c>
      <c r="AA416" s="365"/>
      <c r="AB416" s="365">
        <f>AVERAGE(Y416:AA416)</f>
        <v>104679.75</v>
      </c>
      <c r="AC416" s="365">
        <f t="shared" si="27"/>
        <v>36637.912499999999</v>
      </c>
      <c r="AD416" s="365">
        <f>SUM(AB416:AC416)</f>
        <v>141317.66250000001</v>
      </c>
    </row>
    <row r="417" spans="2:30">
      <c r="B417" s="1102"/>
      <c r="C417" s="387">
        <v>3</v>
      </c>
      <c r="D417" s="376">
        <v>92340</v>
      </c>
      <c r="E417" s="377">
        <v>69255</v>
      </c>
      <c r="F417" s="377">
        <v>57714</v>
      </c>
      <c r="G417" s="378">
        <v>34629</v>
      </c>
      <c r="H417" s="376">
        <v>98064</v>
      </c>
      <c r="I417" s="377">
        <v>73548</v>
      </c>
      <c r="J417" s="377">
        <v>61290</v>
      </c>
      <c r="K417" s="379">
        <v>36774</v>
      </c>
      <c r="W417" s="352" t="s">
        <v>1160</v>
      </c>
      <c r="Y417" s="365">
        <f>MEDIAN($H$415:$H$419)</f>
        <v>98064</v>
      </c>
      <c r="Z417" s="365">
        <f>MEDIAN($H$420:$H$431)</f>
        <v>111295.5</v>
      </c>
      <c r="AA417" s="365"/>
      <c r="AB417" s="365">
        <f>AVERAGE(Y417:AA417)</f>
        <v>104679.75</v>
      </c>
      <c r="AC417" s="365">
        <f t="shared" si="27"/>
        <v>36637.912499999999</v>
      </c>
      <c r="AD417" s="365">
        <f>SUM(AB417:AC417)</f>
        <v>141317.66250000001</v>
      </c>
    </row>
    <row r="418" spans="2:30">
      <c r="B418" s="1102"/>
      <c r="C418" s="387">
        <v>4</v>
      </c>
      <c r="D418" s="376">
        <v>93714</v>
      </c>
      <c r="E418" s="377">
        <v>70287</v>
      </c>
      <c r="F418" s="377">
        <v>58572</v>
      </c>
      <c r="G418" s="378">
        <v>35142</v>
      </c>
      <c r="H418" s="376">
        <v>99525</v>
      </c>
      <c r="I418" s="377">
        <v>74643</v>
      </c>
      <c r="J418" s="377">
        <v>62202</v>
      </c>
      <c r="K418" s="379">
        <v>37323</v>
      </c>
      <c r="W418" s="352" t="s">
        <v>1178</v>
      </c>
      <c r="Y418" s="365">
        <f>MEDIAN($H$444:$H$455)</f>
        <v>226390.5</v>
      </c>
      <c r="Z418" s="365">
        <f>MEDIAN($H$456:$H$467)</f>
        <v>279489</v>
      </c>
      <c r="AA418" s="365"/>
      <c r="AB418" s="365">
        <f t="shared" si="26"/>
        <v>252939.75</v>
      </c>
      <c r="AC418" s="365">
        <f t="shared" si="27"/>
        <v>88528.912499999991</v>
      </c>
      <c r="AD418" s="365">
        <f t="shared" si="28"/>
        <v>341468.66249999998</v>
      </c>
    </row>
    <row r="419" spans="2:30" ht="14.4" thickBot="1">
      <c r="B419" s="1103"/>
      <c r="C419" s="388">
        <v>5</v>
      </c>
      <c r="D419" s="381">
        <v>95127</v>
      </c>
      <c r="E419" s="382">
        <v>71346</v>
      </c>
      <c r="F419" s="382">
        <v>59454</v>
      </c>
      <c r="G419" s="383">
        <v>35673</v>
      </c>
      <c r="H419" s="381">
        <v>101025</v>
      </c>
      <c r="I419" s="382">
        <v>75768</v>
      </c>
      <c r="J419" s="382">
        <v>63141</v>
      </c>
      <c r="K419" s="384">
        <v>37884</v>
      </c>
      <c r="W419" s="352" t="s">
        <v>1157</v>
      </c>
      <c r="Y419" s="365">
        <f>MEDIAN($H$444:$H$455)</f>
        <v>226390.5</v>
      </c>
      <c r="Z419" s="365">
        <f>MEDIAN($H$456:$H$467)</f>
        <v>279489</v>
      </c>
      <c r="AA419" s="365"/>
      <c r="AB419" s="365">
        <f t="shared" si="26"/>
        <v>252939.75</v>
      </c>
      <c r="AC419" s="365">
        <f t="shared" si="27"/>
        <v>88528.912499999991</v>
      </c>
      <c r="AD419" s="365">
        <f t="shared" si="28"/>
        <v>341468.66249999998</v>
      </c>
    </row>
    <row r="420" spans="2:30">
      <c r="B420" s="1101">
        <v>2</v>
      </c>
      <c r="C420" s="386">
        <v>1</v>
      </c>
      <c r="D420" s="371">
        <v>96549</v>
      </c>
      <c r="E420" s="372">
        <v>72411</v>
      </c>
      <c r="F420" s="372">
        <v>60342</v>
      </c>
      <c r="G420" s="373">
        <v>36207</v>
      </c>
      <c r="H420" s="371">
        <v>102534</v>
      </c>
      <c r="I420" s="372">
        <v>76902</v>
      </c>
      <c r="J420" s="372">
        <v>64083</v>
      </c>
      <c r="K420" s="374">
        <v>38451</v>
      </c>
      <c r="W420" s="352" t="s">
        <v>1156</v>
      </c>
      <c r="Y420" s="365">
        <f>MEDIAN($H$444:$H$455)</f>
        <v>226390.5</v>
      </c>
      <c r="Z420" s="365">
        <f>MEDIAN($H$456:$H$467)</f>
        <v>279489</v>
      </c>
      <c r="AA420" s="365"/>
      <c r="AB420" s="365">
        <f t="shared" si="26"/>
        <v>252939.75</v>
      </c>
      <c r="AC420" s="365">
        <f t="shared" si="27"/>
        <v>88528.912499999991</v>
      </c>
      <c r="AD420" s="365">
        <f t="shared" si="28"/>
        <v>341468.66249999998</v>
      </c>
    </row>
    <row r="421" spans="2:30">
      <c r="B421" s="1102"/>
      <c r="C421" s="387">
        <v>2</v>
      </c>
      <c r="D421" s="376">
        <v>98007</v>
      </c>
      <c r="E421" s="377">
        <v>73506</v>
      </c>
      <c r="F421" s="377">
        <v>61254</v>
      </c>
      <c r="G421" s="378">
        <v>36753</v>
      </c>
      <c r="H421" s="376">
        <v>104082</v>
      </c>
      <c r="I421" s="377">
        <v>78063</v>
      </c>
      <c r="J421" s="377">
        <v>65052</v>
      </c>
      <c r="K421" s="379">
        <v>39030</v>
      </c>
      <c r="Y421" s="365"/>
      <c r="Z421" s="365"/>
      <c r="AA421" s="365"/>
      <c r="AB421" s="365"/>
      <c r="AC421" s="365"/>
      <c r="AD421" s="365"/>
    </row>
    <row r="422" spans="2:30">
      <c r="B422" s="1102"/>
      <c r="C422" s="387">
        <v>3</v>
      </c>
      <c r="D422" s="376">
        <v>99471</v>
      </c>
      <c r="E422" s="377">
        <v>74604</v>
      </c>
      <c r="F422" s="377">
        <v>62169</v>
      </c>
      <c r="G422" s="378">
        <v>37302</v>
      </c>
      <c r="H422" s="376">
        <v>105639</v>
      </c>
      <c r="I422" s="377">
        <v>79230</v>
      </c>
      <c r="J422" s="377">
        <v>66024</v>
      </c>
      <c r="K422" s="379">
        <v>39615</v>
      </c>
      <c r="Y422" s="109"/>
      <c r="Z422" s="109"/>
      <c r="AA422" s="109"/>
      <c r="AB422" s="109"/>
      <c r="AC422" s="109"/>
      <c r="AD422" s="109"/>
    </row>
    <row r="423" spans="2:30">
      <c r="B423" s="1102"/>
      <c r="C423" s="387">
        <v>4</v>
      </c>
      <c r="D423" s="376">
        <v>100965</v>
      </c>
      <c r="E423" s="377">
        <v>75723</v>
      </c>
      <c r="F423" s="377">
        <v>63102</v>
      </c>
      <c r="G423" s="378">
        <v>37863</v>
      </c>
      <c r="H423" s="376">
        <v>107226</v>
      </c>
      <c r="I423" s="377">
        <v>80421</v>
      </c>
      <c r="J423" s="377">
        <v>67017</v>
      </c>
      <c r="K423" s="379">
        <v>40209</v>
      </c>
    </row>
    <row r="424" spans="2:30">
      <c r="B424" s="1102"/>
      <c r="C424" s="387">
        <v>5</v>
      </c>
      <c r="D424" s="376">
        <v>102483</v>
      </c>
      <c r="E424" s="377">
        <v>76863</v>
      </c>
      <c r="F424" s="377">
        <v>64053</v>
      </c>
      <c r="G424" s="378">
        <v>38430</v>
      </c>
      <c r="H424" s="376">
        <v>108837</v>
      </c>
      <c r="I424" s="377">
        <v>81627</v>
      </c>
      <c r="J424" s="377">
        <v>68022</v>
      </c>
      <c r="K424" s="379">
        <v>40815</v>
      </c>
    </row>
    <row r="425" spans="2:30">
      <c r="B425" s="1102"/>
      <c r="C425" s="387">
        <v>6</v>
      </c>
      <c r="D425" s="376">
        <v>104016</v>
      </c>
      <c r="E425" s="377">
        <v>78012</v>
      </c>
      <c r="F425" s="377">
        <v>65010</v>
      </c>
      <c r="G425" s="378">
        <v>39006</v>
      </c>
      <c r="H425" s="376">
        <v>110466</v>
      </c>
      <c r="I425" s="377">
        <v>82851</v>
      </c>
      <c r="J425" s="377">
        <v>69042</v>
      </c>
      <c r="K425" s="379">
        <v>41424</v>
      </c>
    </row>
    <row r="426" spans="2:30">
      <c r="B426" s="1102"/>
      <c r="C426" s="387">
        <v>7</v>
      </c>
      <c r="D426" s="376">
        <v>105579</v>
      </c>
      <c r="E426" s="377">
        <v>79185</v>
      </c>
      <c r="F426" s="377">
        <v>65988</v>
      </c>
      <c r="G426" s="378">
        <v>39591</v>
      </c>
      <c r="H426" s="376">
        <v>112125</v>
      </c>
      <c r="I426" s="377">
        <v>84093</v>
      </c>
      <c r="J426" s="377">
        <v>70077</v>
      </c>
      <c r="K426" s="379">
        <v>42048</v>
      </c>
    </row>
    <row r="427" spans="2:30">
      <c r="B427" s="1102"/>
      <c r="C427" s="387">
        <v>8</v>
      </c>
      <c r="D427" s="376">
        <v>107157</v>
      </c>
      <c r="E427" s="377">
        <v>80367</v>
      </c>
      <c r="F427" s="377">
        <v>66972</v>
      </c>
      <c r="G427" s="378">
        <v>40185</v>
      </c>
      <c r="H427" s="376">
        <v>113802</v>
      </c>
      <c r="I427" s="377">
        <v>85353</v>
      </c>
      <c r="J427" s="377">
        <v>71127</v>
      </c>
      <c r="K427" s="379">
        <v>42675</v>
      </c>
    </row>
    <row r="428" spans="2:30">
      <c r="B428" s="1102"/>
      <c r="C428" s="387">
        <v>9</v>
      </c>
      <c r="D428" s="376">
        <v>108771</v>
      </c>
      <c r="E428" s="377">
        <v>81579</v>
      </c>
      <c r="F428" s="377">
        <v>67983</v>
      </c>
      <c r="G428" s="378">
        <v>40788</v>
      </c>
      <c r="H428" s="376">
        <v>115515</v>
      </c>
      <c r="I428" s="377">
        <v>86637</v>
      </c>
      <c r="J428" s="377">
        <v>72198</v>
      </c>
      <c r="K428" s="379">
        <v>43317</v>
      </c>
    </row>
    <row r="429" spans="2:30">
      <c r="B429" s="1102"/>
      <c r="C429" s="387">
        <v>10</v>
      </c>
      <c r="D429" s="376">
        <v>110403</v>
      </c>
      <c r="E429" s="377">
        <v>82803</v>
      </c>
      <c r="F429" s="377">
        <v>69003</v>
      </c>
      <c r="G429" s="378">
        <v>41400</v>
      </c>
      <c r="H429" s="376">
        <v>117249</v>
      </c>
      <c r="I429" s="377">
        <v>87936</v>
      </c>
      <c r="J429" s="377">
        <v>73281</v>
      </c>
      <c r="K429" s="379">
        <v>43968</v>
      </c>
    </row>
    <row r="430" spans="2:30">
      <c r="B430" s="1102"/>
      <c r="C430" s="387">
        <v>11</v>
      </c>
      <c r="D430" s="376">
        <v>112059</v>
      </c>
      <c r="E430" s="377">
        <v>84045</v>
      </c>
      <c r="F430" s="377">
        <v>70038</v>
      </c>
      <c r="G430" s="378">
        <v>42021</v>
      </c>
      <c r="H430" s="376">
        <v>119007</v>
      </c>
      <c r="I430" s="377">
        <v>89256</v>
      </c>
      <c r="J430" s="377">
        <v>74379</v>
      </c>
      <c r="K430" s="379">
        <v>44628</v>
      </c>
    </row>
    <row r="431" spans="2:30" ht="14.4" thickBot="1">
      <c r="B431" s="1103"/>
      <c r="C431" s="388">
        <v>12</v>
      </c>
      <c r="D431" s="381">
        <v>113730</v>
      </c>
      <c r="E431" s="382">
        <v>85299</v>
      </c>
      <c r="F431" s="382">
        <v>71082</v>
      </c>
      <c r="G431" s="383">
        <v>42648</v>
      </c>
      <c r="H431" s="381">
        <v>120780</v>
      </c>
      <c r="I431" s="382">
        <v>90585</v>
      </c>
      <c r="J431" s="382">
        <v>75489</v>
      </c>
      <c r="K431" s="384">
        <v>45294</v>
      </c>
    </row>
    <row r="432" spans="2:30">
      <c r="B432" s="1101">
        <v>3</v>
      </c>
      <c r="C432" s="386">
        <v>1</v>
      </c>
      <c r="D432" s="371">
        <v>115437</v>
      </c>
      <c r="E432" s="372">
        <v>86577</v>
      </c>
      <c r="F432" s="372">
        <v>72147</v>
      </c>
      <c r="G432" s="373">
        <v>43290</v>
      </c>
      <c r="H432" s="371">
        <v>122595</v>
      </c>
      <c r="I432" s="372">
        <v>91947</v>
      </c>
      <c r="J432" s="372">
        <v>76623</v>
      </c>
      <c r="K432" s="374">
        <v>45972</v>
      </c>
    </row>
    <row r="433" spans="2:11">
      <c r="B433" s="1102"/>
      <c r="C433" s="387">
        <v>2</v>
      </c>
      <c r="D433" s="376">
        <v>117171</v>
      </c>
      <c r="E433" s="377">
        <v>87879</v>
      </c>
      <c r="F433" s="377">
        <v>73233</v>
      </c>
      <c r="G433" s="378">
        <v>43938</v>
      </c>
      <c r="H433" s="376">
        <v>124437</v>
      </c>
      <c r="I433" s="377">
        <v>93327</v>
      </c>
      <c r="J433" s="377">
        <v>77772</v>
      </c>
      <c r="K433" s="379">
        <v>46665</v>
      </c>
    </row>
    <row r="434" spans="2:11">
      <c r="B434" s="1102"/>
      <c r="C434" s="387">
        <v>3</v>
      </c>
      <c r="D434" s="376">
        <v>118932</v>
      </c>
      <c r="E434" s="377">
        <v>89199</v>
      </c>
      <c r="F434" s="377">
        <v>74334</v>
      </c>
      <c r="G434" s="378">
        <v>44601</v>
      </c>
      <c r="H434" s="376">
        <v>126306</v>
      </c>
      <c r="I434" s="377">
        <v>94731</v>
      </c>
      <c r="J434" s="377">
        <v>78942</v>
      </c>
      <c r="K434" s="379">
        <v>47364</v>
      </c>
    </row>
    <row r="435" spans="2:11">
      <c r="B435" s="1102"/>
      <c r="C435" s="387">
        <v>4</v>
      </c>
      <c r="D435" s="376">
        <v>120708</v>
      </c>
      <c r="E435" s="377">
        <v>90531</v>
      </c>
      <c r="F435" s="377">
        <v>75444</v>
      </c>
      <c r="G435" s="378">
        <v>45267</v>
      </c>
      <c r="H435" s="376">
        <v>128193</v>
      </c>
      <c r="I435" s="377">
        <v>96144</v>
      </c>
      <c r="J435" s="377">
        <v>80121</v>
      </c>
      <c r="K435" s="379">
        <v>48072</v>
      </c>
    </row>
    <row r="436" spans="2:11">
      <c r="B436" s="1102"/>
      <c r="C436" s="387">
        <v>5</v>
      </c>
      <c r="D436" s="376">
        <v>122529</v>
      </c>
      <c r="E436" s="377">
        <v>91896</v>
      </c>
      <c r="F436" s="377">
        <v>76581</v>
      </c>
      <c r="G436" s="378">
        <v>45948</v>
      </c>
      <c r="H436" s="376">
        <v>130125</v>
      </c>
      <c r="I436" s="377">
        <v>97593</v>
      </c>
      <c r="J436" s="377">
        <v>81327</v>
      </c>
      <c r="K436" s="379">
        <v>48798</v>
      </c>
    </row>
    <row r="437" spans="2:11">
      <c r="B437" s="1102"/>
      <c r="C437" s="387">
        <v>6</v>
      </c>
      <c r="D437" s="376">
        <v>124362</v>
      </c>
      <c r="E437" s="377">
        <v>93273</v>
      </c>
      <c r="F437" s="377">
        <v>77727</v>
      </c>
      <c r="G437" s="378">
        <v>46635</v>
      </c>
      <c r="H437" s="376">
        <v>132072</v>
      </c>
      <c r="I437" s="377">
        <v>99054</v>
      </c>
      <c r="J437" s="377">
        <v>82545</v>
      </c>
      <c r="K437" s="379">
        <v>49527</v>
      </c>
    </row>
    <row r="438" spans="2:11">
      <c r="B438" s="1102"/>
      <c r="C438" s="387">
        <v>7</v>
      </c>
      <c r="D438" s="376">
        <v>126225</v>
      </c>
      <c r="E438" s="377">
        <v>94668</v>
      </c>
      <c r="F438" s="377">
        <v>78891</v>
      </c>
      <c r="G438" s="378">
        <v>47334</v>
      </c>
      <c r="H438" s="376">
        <v>134052</v>
      </c>
      <c r="I438" s="377">
        <v>100539</v>
      </c>
      <c r="J438" s="377">
        <v>83784</v>
      </c>
      <c r="K438" s="379">
        <v>50271</v>
      </c>
    </row>
    <row r="439" spans="2:11">
      <c r="B439" s="1102"/>
      <c r="C439" s="387">
        <v>8</v>
      </c>
      <c r="D439" s="376">
        <v>128121</v>
      </c>
      <c r="E439" s="377">
        <v>96090</v>
      </c>
      <c r="F439" s="377">
        <v>80076</v>
      </c>
      <c r="G439" s="378">
        <v>48045</v>
      </c>
      <c r="H439" s="376">
        <v>136065</v>
      </c>
      <c r="I439" s="377">
        <v>102048</v>
      </c>
      <c r="J439" s="377">
        <v>85041</v>
      </c>
      <c r="K439" s="379">
        <v>51024</v>
      </c>
    </row>
    <row r="440" spans="2:11">
      <c r="B440" s="1102"/>
      <c r="C440" s="387">
        <v>9</v>
      </c>
      <c r="D440" s="376">
        <v>130038</v>
      </c>
      <c r="E440" s="377">
        <v>97530</v>
      </c>
      <c r="F440" s="377">
        <v>81273</v>
      </c>
      <c r="G440" s="378">
        <v>48765</v>
      </c>
      <c r="H440" s="376">
        <v>138099</v>
      </c>
      <c r="I440" s="377">
        <v>103575</v>
      </c>
      <c r="J440" s="377">
        <v>86313</v>
      </c>
      <c r="K440" s="379">
        <v>51786</v>
      </c>
    </row>
    <row r="441" spans="2:11">
      <c r="B441" s="1102"/>
      <c r="C441" s="387">
        <v>10</v>
      </c>
      <c r="D441" s="376">
        <v>131994</v>
      </c>
      <c r="E441" s="377">
        <v>98997</v>
      </c>
      <c r="F441" s="377">
        <v>82497</v>
      </c>
      <c r="G441" s="378">
        <v>49497</v>
      </c>
      <c r="H441" s="376">
        <v>140178</v>
      </c>
      <c r="I441" s="377">
        <v>105135</v>
      </c>
      <c r="J441" s="377">
        <v>87612</v>
      </c>
      <c r="K441" s="379">
        <v>52566</v>
      </c>
    </row>
    <row r="442" spans="2:11">
      <c r="B442" s="1102"/>
      <c r="C442" s="387">
        <v>11</v>
      </c>
      <c r="D442" s="376">
        <v>133986</v>
      </c>
      <c r="E442" s="377">
        <v>100491</v>
      </c>
      <c r="F442" s="377">
        <v>83742</v>
      </c>
      <c r="G442" s="378">
        <v>50244</v>
      </c>
      <c r="H442" s="376">
        <v>142293</v>
      </c>
      <c r="I442" s="377">
        <v>106719</v>
      </c>
      <c r="J442" s="377">
        <v>88932</v>
      </c>
      <c r="K442" s="379">
        <v>53361</v>
      </c>
    </row>
    <row r="443" spans="2:11" ht="14.4" thickBot="1">
      <c r="B443" s="1103"/>
      <c r="C443" s="388">
        <v>12</v>
      </c>
      <c r="D443" s="381">
        <v>135981</v>
      </c>
      <c r="E443" s="382">
        <v>101985</v>
      </c>
      <c r="F443" s="382">
        <v>84987</v>
      </c>
      <c r="G443" s="383">
        <v>50994</v>
      </c>
      <c r="H443" s="381">
        <v>144411</v>
      </c>
      <c r="I443" s="382">
        <v>108309</v>
      </c>
      <c r="J443" s="382">
        <v>90258</v>
      </c>
      <c r="K443" s="384">
        <v>54153</v>
      </c>
    </row>
    <row r="444" spans="2:11">
      <c r="B444" s="1101">
        <v>6</v>
      </c>
      <c r="C444" s="370">
        <v>1</v>
      </c>
      <c r="D444" s="371">
        <v>196407</v>
      </c>
      <c r="E444" s="372">
        <v>147306</v>
      </c>
      <c r="F444" s="372">
        <v>122754</v>
      </c>
      <c r="G444" s="373">
        <v>73653</v>
      </c>
      <c r="H444" s="371">
        <v>208584</v>
      </c>
      <c r="I444" s="372">
        <v>156438</v>
      </c>
      <c r="J444" s="372">
        <v>130365</v>
      </c>
      <c r="K444" s="374">
        <v>78219</v>
      </c>
    </row>
    <row r="445" spans="2:11">
      <c r="B445" s="1102"/>
      <c r="C445" s="375">
        <v>2</v>
      </c>
      <c r="D445" s="376">
        <v>199356</v>
      </c>
      <c r="E445" s="377">
        <v>149517</v>
      </c>
      <c r="F445" s="377">
        <v>124599</v>
      </c>
      <c r="G445" s="378">
        <v>74760</v>
      </c>
      <c r="H445" s="376">
        <v>211716</v>
      </c>
      <c r="I445" s="377">
        <v>158787</v>
      </c>
      <c r="J445" s="377">
        <v>132324</v>
      </c>
      <c r="K445" s="379">
        <v>79395</v>
      </c>
    </row>
    <row r="446" spans="2:11">
      <c r="B446" s="1102"/>
      <c r="C446" s="375">
        <v>3</v>
      </c>
      <c r="D446" s="376">
        <v>202338</v>
      </c>
      <c r="E446" s="377">
        <v>151755</v>
      </c>
      <c r="F446" s="377">
        <v>126462</v>
      </c>
      <c r="G446" s="378">
        <v>75876</v>
      </c>
      <c r="H446" s="376">
        <v>214884</v>
      </c>
      <c r="I446" s="377">
        <v>161163</v>
      </c>
      <c r="J446" s="377">
        <v>134304</v>
      </c>
      <c r="K446" s="379">
        <v>80583</v>
      </c>
    </row>
    <row r="447" spans="2:11">
      <c r="B447" s="1102"/>
      <c r="C447" s="375">
        <v>4</v>
      </c>
      <c r="D447" s="376">
        <v>205377</v>
      </c>
      <c r="E447" s="377">
        <v>154032</v>
      </c>
      <c r="F447" s="377">
        <v>128361</v>
      </c>
      <c r="G447" s="378">
        <v>77016</v>
      </c>
      <c r="H447" s="376">
        <v>218109</v>
      </c>
      <c r="I447" s="377">
        <v>163581</v>
      </c>
      <c r="J447" s="377">
        <v>136317</v>
      </c>
      <c r="K447" s="379">
        <v>81792</v>
      </c>
    </row>
    <row r="448" spans="2:11">
      <c r="B448" s="1102"/>
      <c r="C448" s="375">
        <v>5</v>
      </c>
      <c r="D448" s="376">
        <v>208458</v>
      </c>
      <c r="E448" s="377">
        <v>156345</v>
      </c>
      <c r="F448" s="377">
        <v>130287</v>
      </c>
      <c r="G448" s="378">
        <v>78171</v>
      </c>
      <c r="H448" s="376">
        <v>221382</v>
      </c>
      <c r="I448" s="377">
        <v>166038</v>
      </c>
      <c r="J448" s="377">
        <v>138363</v>
      </c>
      <c r="K448" s="379">
        <v>83019</v>
      </c>
    </row>
    <row r="449" spans="2:11">
      <c r="B449" s="1102"/>
      <c r="C449" s="375">
        <v>6</v>
      </c>
      <c r="D449" s="376">
        <v>211584</v>
      </c>
      <c r="E449" s="377">
        <v>158688</v>
      </c>
      <c r="F449" s="377">
        <v>132240</v>
      </c>
      <c r="G449" s="378">
        <v>79344</v>
      </c>
      <c r="H449" s="376">
        <v>224703</v>
      </c>
      <c r="I449" s="377">
        <v>168528</v>
      </c>
      <c r="J449" s="377">
        <v>140439</v>
      </c>
      <c r="K449" s="379">
        <v>84264</v>
      </c>
    </row>
    <row r="450" spans="2:11">
      <c r="B450" s="1102"/>
      <c r="C450" s="375">
        <v>7</v>
      </c>
      <c r="D450" s="376">
        <v>214764</v>
      </c>
      <c r="E450" s="377">
        <v>161073</v>
      </c>
      <c r="F450" s="377">
        <v>134229</v>
      </c>
      <c r="G450" s="378">
        <v>80538</v>
      </c>
      <c r="H450" s="376">
        <v>228078</v>
      </c>
      <c r="I450" s="377">
        <v>171060</v>
      </c>
      <c r="J450" s="377">
        <v>142548</v>
      </c>
      <c r="K450" s="379">
        <v>85530</v>
      </c>
    </row>
    <row r="451" spans="2:11">
      <c r="B451" s="1102"/>
      <c r="C451" s="375">
        <v>8</v>
      </c>
      <c r="D451" s="376">
        <v>217980</v>
      </c>
      <c r="E451" s="377">
        <v>163485</v>
      </c>
      <c r="F451" s="377">
        <v>136239</v>
      </c>
      <c r="G451" s="378">
        <v>81744</v>
      </c>
      <c r="H451" s="376">
        <v>231495</v>
      </c>
      <c r="I451" s="377">
        <v>173622</v>
      </c>
      <c r="J451" s="377">
        <v>144684</v>
      </c>
      <c r="K451" s="379">
        <v>86811</v>
      </c>
    </row>
    <row r="452" spans="2:11">
      <c r="B452" s="1102"/>
      <c r="C452" s="375">
        <v>9</v>
      </c>
      <c r="D452" s="376">
        <v>221244</v>
      </c>
      <c r="E452" s="377">
        <v>165933</v>
      </c>
      <c r="F452" s="377">
        <v>138279</v>
      </c>
      <c r="G452" s="378">
        <v>82968</v>
      </c>
      <c r="H452" s="376">
        <v>234960</v>
      </c>
      <c r="I452" s="377">
        <v>176220</v>
      </c>
      <c r="J452" s="377">
        <v>146850</v>
      </c>
      <c r="K452" s="379">
        <v>88110</v>
      </c>
    </row>
    <row r="453" spans="2:11">
      <c r="B453" s="1102"/>
      <c r="C453" s="375">
        <v>10</v>
      </c>
      <c r="D453" s="376">
        <v>224568</v>
      </c>
      <c r="E453" s="377">
        <v>168426</v>
      </c>
      <c r="F453" s="377">
        <v>140355</v>
      </c>
      <c r="G453" s="378">
        <v>84213</v>
      </c>
      <c r="H453" s="376">
        <v>238491</v>
      </c>
      <c r="I453" s="377">
        <v>178869</v>
      </c>
      <c r="J453" s="377">
        <v>149058</v>
      </c>
      <c r="K453" s="379">
        <v>89433</v>
      </c>
    </row>
    <row r="454" spans="2:11">
      <c r="B454" s="1102"/>
      <c r="C454" s="375">
        <v>11</v>
      </c>
      <c r="D454" s="376">
        <v>227946</v>
      </c>
      <c r="E454" s="377">
        <v>170961</v>
      </c>
      <c r="F454" s="377">
        <v>142467</v>
      </c>
      <c r="G454" s="378">
        <v>85479</v>
      </c>
      <c r="H454" s="376">
        <v>242079</v>
      </c>
      <c r="I454" s="377">
        <v>181560</v>
      </c>
      <c r="J454" s="377">
        <v>151299</v>
      </c>
      <c r="K454" s="379">
        <v>90780</v>
      </c>
    </row>
    <row r="455" spans="2:11" ht="14.4" thickBot="1">
      <c r="B455" s="1103"/>
      <c r="C455" s="380">
        <v>12</v>
      </c>
      <c r="D455" s="381">
        <v>231351</v>
      </c>
      <c r="E455" s="382">
        <v>173514</v>
      </c>
      <c r="F455" s="382">
        <v>144594</v>
      </c>
      <c r="G455" s="383">
        <v>86757</v>
      </c>
      <c r="H455" s="381">
        <v>245694</v>
      </c>
      <c r="I455" s="382">
        <v>184272</v>
      </c>
      <c r="J455" s="382">
        <v>153558</v>
      </c>
      <c r="K455" s="384">
        <v>92136</v>
      </c>
    </row>
    <row r="456" spans="2:11">
      <c r="B456" s="1101">
        <v>7</v>
      </c>
      <c r="C456" s="370">
        <v>1</v>
      </c>
      <c r="D456" s="371">
        <v>242475</v>
      </c>
      <c r="E456" s="372">
        <v>181857</v>
      </c>
      <c r="F456" s="372">
        <v>151548</v>
      </c>
      <c r="G456" s="373">
        <v>90927</v>
      </c>
      <c r="H456" s="371">
        <v>257508</v>
      </c>
      <c r="I456" s="372">
        <v>193131</v>
      </c>
      <c r="J456" s="372">
        <v>160944</v>
      </c>
      <c r="K456" s="374">
        <v>96567</v>
      </c>
    </row>
    <row r="457" spans="2:11">
      <c r="B457" s="1102"/>
      <c r="C457" s="375">
        <v>2</v>
      </c>
      <c r="D457" s="376">
        <v>246114</v>
      </c>
      <c r="E457" s="377">
        <v>184587</v>
      </c>
      <c r="F457" s="377">
        <v>153822</v>
      </c>
      <c r="G457" s="378">
        <v>92292</v>
      </c>
      <c r="H457" s="376">
        <v>261372</v>
      </c>
      <c r="I457" s="377">
        <v>196029</v>
      </c>
      <c r="J457" s="377">
        <v>163359</v>
      </c>
      <c r="K457" s="379">
        <v>98016</v>
      </c>
    </row>
    <row r="458" spans="2:11">
      <c r="B458" s="1102"/>
      <c r="C458" s="375">
        <v>3</v>
      </c>
      <c r="D458" s="376">
        <v>249813</v>
      </c>
      <c r="E458" s="377">
        <v>187359</v>
      </c>
      <c r="F458" s="377">
        <v>156132</v>
      </c>
      <c r="G458" s="378">
        <v>93681</v>
      </c>
      <c r="H458" s="376">
        <v>265302</v>
      </c>
      <c r="I458" s="377">
        <v>198978</v>
      </c>
      <c r="J458" s="377">
        <v>165813</v>
      </c>
      <c r="K458" s="379">
        <v>99489</v>
      </c>
    </row>
    <row r="459" spans="2:11">
      <c r="B459" s="1102"/>
      <c r="C459" s="375">
        <v>4</v>
      </c>
      <c r="D459" s="376">
        <v>253557</v>
      </c>
      <c r="E459" s="377">
        <v>190167</v>
      </c>
      <c r="F459" s="377">
        <v>158472</v>
      </c>
      <c r="G459" s="378">
        <v>95085</v>
      </c>
      <c r="H459" s="376">
        <v>269277</v>
      </c>
      <c r="I459" s="377">
        <v>201957</v>
      </c>
      <c r="J459" s="377">
        <v>168297</v>
      </c>
      <c r="K459" s="379">
        <v>100980</v>
      </c>
    </row>
    <row r="460" spans="2:11">
      <c r="B460" s="1102"/>
      <c r="C460" s="375">
        <v>5</v>
      </c>
      <c r="D460" s="376">
        <v>257355</v>
      </c>
      <c r="E460" s="377">
        <v>193017</v>
      </c>
      <c r="F460" s="377">
        <v>160848</v>
      </c>
      <c r="G460" s="378">
        <v>96507</v>
      </c>
      <c r="H460" s="376">
        <v>273312</v>
      </c>
      <c r="I460" s="377">
        <v>204984</v>
      </c>
      <c r="J460" s="377">
        <v>170820</v>
      </c>
      <c r="K460" s="379">
        <v>102492</v>
      </c>
    </row>
    <row r="461" spans="2:11">
      <c r="B461" s="1102"/>
      <c r="C461" s="375">
        <v>6</v>
      </c>
      <c r="D461" s="376">
        <v>261216</v>
      </c>
      <c r="E461" s="377">
        <v>195912</v>
      </c>
      <c r="F461" s="377">
        <v>163260</v>
      </c>
      <c r="G461" s="378">
        <v>97956</v>
      </c>
      <c r="H461" s="376">
        <v>277410</v>
      </c>
      <c r="I461" s="377">
        <v>208059</v>
      </c>
      <c r="J461" s="377">
        <v>173382</v>
      </c>
      <c r="K461" s="379">
        <v>104028</v>
      </c>
    </row>
    <row r="462" spans="2:11">
      <c r="B462" s="1102"/>
      <c r="C462" s="375">
        <v>7</v>
      </c>
      <c r="D462" s="376">
        <v>265131</v>
      </c>
      <c r="E462" s="377">
        <v>198849</v>
      </c>
      <c r="F462" s="377">
        <v>165708</v>
      </c>
      <c r="G462" s="378">
        <v>99423</v>
      </c>
      <c r="H462" s="376">
        <v>281568</v>
      </c>
      <c r="I462" s="377">
        <v>211176</v>
      </c>
      <c r="J462" s="377">
        <v>175980</v>
      </c>
      <c r="K462" s="379">
        <v>105588</v>
      </c>
    </row>
    <row r="463" spans="2:11">
      <c r="B463" s="1102"/>
      <c r="C463" s="375">
        <v>8</v>
      </c>
      <c r="D463" s="376">
        <v>269115</v>
      </c>
      <c r="E463" s="377">
        <v>201837</v>
      </c>
      <c r="F463" s="377">
        <v>168198</v>
      </c>
      <c r="G463" s="378">
        <v>100917</v>
      </c>
      <c r="H463" s="376">
        <v>285801</v>
      </c>
      <c r="I463" s="377">
        <v>214350</v>
      </c>
      <c r="J463" s="377">
        <v>178626</v>
      </c>
      <c r="K463" s="379">
        <v>107175</v>
      </c>
    </row>
    <row r="464" spans="2:11">
      <c r="B464" s="1102"/>
      <c r="C464" s="375">
        <v>9</v>
      </c>
      <c r="D464" s="376">
        <v>273144</v>
      </c>
      <c r="E464" s="377">
        <v>204858</v>
      </c>
      <c r="F464" s="377">
        <v>170715</v>
      </c>
      <c r="G464" s="378">
        <v>102429</v>
      </c>
      <c r="H464" s="376">
        <v>290079</v>
      </c>
      <c r="I464" s="377">
        <v>217560</v>
      </c>
      <c r="J464" s="377">
        <v>181299</v>
      </c>
      <c r="K464" s="379">
        <v>108780</v>
      </c>
    </row>
    <row r="465" spans="2:11">
      <c r="B465" s="1102"/>
      <c r="C465" s="375">
        <v>10</v>
      </c>
      <c r="D465" s="376">
        <v>277242</v>
      </c>
      <c r="E465" s="377">
        <v>207933</v>
      </c>
      <c r="F465" s="377">
        <v>173277</v>
      </c>
      <c r="G465" s="378">
        <v>103965</v>
      </c>
      <c r="H465" s="376">
        <v>294432</v>
      </c>
      <c r="I465" s="377">
        <v>220824</v>
      </c>
      <c r="J465" s="377">
        <v>184020</v>
      </c>
      <c r="K465" s="379">
        <v>110412</v>
      </c>
    </row>
    <row r="466" spans="2:11">
      <c r="B466" s="1102"/>
      <c r="C466" s="375">
        <v>11</v>
      </c>
      <c r="D466" s="376">
        <v>281400</v>
      </c>
      <c r="E466" s="377">
        <v>211050</v>
      </c>
      <c r="F466" s="377">
        <v>175875</v>
      </c>
      <c r="G466" s="378">
        <v>105525</v>
      </c>
      <c r="H466" s="376">
        <v>298848</v>
      </c>
      <c r="I466" s="377">
        <v>224136</v>
      </c>
      <c r="J466" s="377">
        <v>186780</v>
      </c>
      <c r="K466" s="379">
        <v>112068</v>
      </c>
    </row>
    <row r="467" spans="2:11" ht="14.4" thickBot="1">
      <c r="B467" s="1103"/>
      <c r="C467" s="380">
        <v>12</v>
      </c>
      <c r="D467" s="381">
        <v>285630</v>
      </c>
      <c r="E467" s="382">
        <v>214224</v>
      </c>
      <c r="F467" s="382">
        <v>178518</v>
      </c>
      <c r="G467" s="383">
        <v>107112</v>
      </c>
      <c r="H467" s="381">
        <v>303339</v>
      </c>
      <c r="I467" s="382">
        <v>227505</v>
      </c>
      <c r="J467" s="382">
        <v>189588</v>
      </c>
      <c r="K467" s="384">
        <v>113751</v>
      </c>
    </row>
    <row r="468" spans="2:11">
      <c r="B468" s="1101">
        <v>8</v>
      </c>
      <c r="C468" s="370">
        <v>1</v>
      </c>
      <c r="D468" s="371">
        <v>299709</v>
      </c>
      <c r="E468" s="372">
        <v>224781</v>
      </c>
      <c r="F468" s="372">
        <v>187317</v>
      </c>
      <c r="G468" s="373">
        <v>112392</v>
      </c>
      <c r="H468" s="371">
        <v>316791</v>
      </c>
      <c r="I468" s="372">
        <v>237594</v>
      </c>
      <c r="J468" s="372">
        <v>197994</v>
      </c>
      <c r="K468" s="374">
        <v>118797</v>
      </c>
    </row>
    <row r="469" spans="2:11">
      <c r="B469" s="1102"/>
      <c r="C469" s="375">
        <v>2</v>
      </c>
      <c r="D469" s="376">
        <v>304215</v>
      </c>
      <c r="E469" s="377">
        <v>228162</v>
      </c>
      <c r="F469" s="377">
        <v>190134</v>
      </c>
      <c r="G469" s="378">
        <v>114081</v>
      </c>
      <c r="H469" s="376">
        <v>321555</v>
      </c>
      <c r="I469" s="377">
        <v>241167</v>
      </c>
      <c r="J469" s="377">
        <v>200973</v>
      </c>
      <c r="K469" s="379">
        <v>120582</v>
      </c>
    </row>
    <row r="470" spans="2:11">
      <c r="B470" s="1102"/>
      <c r="C470" s="375">
        <v>3</v>
      </c>
      <c r="D470" s="376">
        <v>308775</v>
      </c>
      <c r="E470" s="377">
        <v>231582</v>
      </c>
      <c r="F470" s="377">
        <v>192984</v>
      </c>
      <c r="G470" s="378">
        <v>115791</v>
      </c>
      <c r="H470" s="376">
        <v>326376</v>
      </c>
      <c r="I470" s="377">
        <v>244782</v>
      </c>
      <c r="J470" s="377">
        <v>203985</v>
      </c>
      <c r="K470" s="379">
        <v>122391</v>
      </c>
    </row>
    <row r="471" spans="2:11">
      <c r="B471" s="1102"/>
      <c r="C471" s="375">
        <v>4</v>
      </c>
      <c r="D471" s="376">
        <v>313404</v>
      </c>
      <c r="E471" s="377">
        <v>235053</v>
      </c>
      <c r="F471" s="377">
        <v>195879</v>
      </c>
      <c r="G471" s="378">
        <v>117528</v>
      </c>
      <c r="H471" s="376">
        <v>331269</v>
      </c>
      <c r="I471" s="377">
        <v>248451</v>
      </c>
      <c r="J471" s="377">
        <v>207042</v>
      </c>
      <c r="K471" s="379">
        <v>124227</v>
      </c>
    </row>
    <row r="472" spans="2:11">
      <c r="B472" s="1102"/>
      <c r="C472" s="375">
        <v>5</v>
      </c>
      <c r="D472" s="376">
        <v>318111</v>
      </c>
      <c r="E472" s="377">
        <v>238584</v>
      </c>
      <c r="F472" s="377">
        <v>198819</v>
      </c>
      <c r="G472" s="378">
        <v>119292</v>
      </c>
      <c r="H472" s="376">
        <v>336243</v>
      </c>
      <c r="I472" s="377">
        <v>252183</v>
      </c>
      <c r="J472" s="377">
        <v>210153</v>
      </c>
      <c r="K472" s="379">
        <v>126090</v>
      </c>
    </row>
    <row r="473" spans="2:11">
      <c r="B473" s="1102"/>
      <c r="C473" s="375">
        <v>6</v>
      </c>
      <c r="D473" s="376">
        <v>322875</v>
      </c>
      <c r="E473" s="377">
        <v>242157</v>
      </c>
      <c r="F473" s="377">
        <v>201798</v>
      </c>
      <c r="G473" s="378">
        <v>121077</v>
      </c>
      <c r="H473" s="376">
        <v>341280</v>
      </c>
      <c r="I473" s="377">
        <v>255960</v>
      </c>
      <c r="J473" s="377">
        <v>213300</v>
      </c>
      <c r="K473" s="379">
        <v>127980</v>
      </c>
    </row>
    <row r="474" spans="2:11">
      <c r="B474" s="1102"/>
      <c r="C474" s="375">
        <v>7</v>
      </c>
      <c r="D474" s="376">
        <v>327714</v>
      </c>
      <c r="E474" s="377">
        <v>245787</v>
      </c>
      <c r="F474" s="377">
        <v>204822</v>
      </c>
      <c r="G474" s="378">
        <v>122892</v>
      </c>
      <c r="H474" s="376">
        <v>346395</v>
      </c>
      <c r="I474" s="377">
        <v>259797</v>
      </c>
      <c r="J474" s="377">
        <v>216498</v>
      </c>
      <c r="K474" s="379">
        <v>129897</v>
      </c>
    </row>
    <row r="475" spans="2:11">
      <c r="B475" s="1102"/>
      <c r="C475" s="375">
        <v>8</v>
      </c>
      <c r="D475" s="376">
        <v>332634</v>
      </c>
      <c r="E475" s="377">
        <v>249477</v>
      </c>
      <c r="F475" s="377">
        <v>207897</v>
      </c>
      <c r="G475" s="378">
        <v>124737</v>
      </c>
      <c r="H475" s="376">
        <v>351594</v>
      </c>
      <c r="I475" s="377">
        <v>263697</v>
      </c>
      <c r="J475" s="377">
        <v>219747</v>
      </c>
      <c r="K475" s="379">
        <v>131847</v>
      </c>
    </row>
    <row r="476" spans="2:11">
      <c r="B476" s="1102"/>
      <c r="C476" s="375">
        <v>9</v>
      </c>
      <c r="D476" s="376">
        <v>337629</v>
      </c>
      <c r="E476" s="377">
        <v>253221</v>
      </c>
      <c r="F476" s="377">
        <v>211017</v>
      </c>
      <c r="G476" s="378">
        <v>126612</v>
      </c>
      <c r="H476" s="376">
        <v>356874</v>
      </c>
      <c r="I476" s="377">
        <v>267657</v>
      </c>
      <c r="J476" s="377">
        <v>223047</v>
      </c>
      <c r="K476" s="379">
        <v>133827</v>
      </c>
    </row>
    <row r="477" spans="2:11">
      <c r="B477" s="1102"/>
      <c r="C477" s="375">
        <v>10</v>
      </c>
      <c r="D477" s="376">
        <v>342690</v>
      </c>
      <c r="E477" s="377">
        <v>257019</v>
      </c>
      <c r="F477" s="377">
        <v>214182</v>
      </c>
      <c r="G477" s="378">
        <v>128508</v>
      </c>
      <c r="H477" s="376">
        <v>362223</v>
      </c>
      <c r="I477" s="377">
        <v>271668</v>
      </c>
      <c r="J477" s="377">
        <v>226389</v>
      </c>
      <c r="K477" s="379">
        <v>135834</v>
      </c>
    </row>
    <row r="478" spans="2:11">
      <c r="B478" s="1102"/>
      <c r="C478" s="375">
        <v>11</v>
      </c>
      <c r="D478" s="376">
        <v>347829</v>
      </c>
      <c r="E478" s="377">
        <v>260871</v>
      </c>
      <c r="F478" s="377">
        <v>217392</v>
      </c>
      <c r="G478" s="378">
        <v>130437</v>
      </c>
      <c r="H478" s="376">
        <v>367656</v>
      </c>
      <c r="I478" s="377">
        <v>275742</v>
      </c>
      <c r="J478" s="377">
        <v>229785</v>
      </c>
      <c r="K478" s="379">
        <v>137871</v>
      </c>
    </row>
    <row r="479" spans="2:11" ht="14.4" thickBot="1">
      <c r="B479" s="1103"/>
      <c r="C479" s="380">
        <v>12</v>
      </c>
      <c r="D479" s="381">
        <v>353043</v>
      </c>
      <c r="E479" s="382">
        <v>264783</v>
      </c>
      <c r="F479" s="382">
        <v>220653</v>
      </c>
      <c r="G479" s="383">
        <v>132390</v>
      </c>
      <c r="H479" s="381">
        <v>373167</v>
      </c>
      <c r="I479" s="382">
        <v>279876</v>
      </c>
      <c r="J479" s="382">
        <v>233229</v>
      </c>
      <c r="K479" s="384">
        <v>139938</v>
      </c>
    </row>
  </sheetData>
  <mergeCells count="61">
    <mergeCell ref="H27:H28"/>
    <mergeCell ref="I27:K27"/>
    <mergeCell ref="A15:K15"/>
    <mergeCell ref="A17:K17"/>
    <mergeCell ref="B19:C19"/>
    <mergeCell ref="E19:K19"/>
    <mergeCell ref="E20:K20"/>
    <mergeCell ref="H390:K390"/>
    <mergeCell ref="D55:G55"/>
    <mergeCell ref="H55:K55"/>
    <mergeCell ref="E21:K21"/>
    <mergeCell ref="E22:K22"/>
    <mergeCell ref="E23:K23"/>
    <mergeCell ref="E24:K24"/>
    <mergeCell ref="B30:K30"/>
    <mergeCell ref="D31:G31"/>
    <mergeCell ref="H31:K31"/>
    <mergeCell ref="B26:B28"/>
    <mergeCell ref="C26:C28"/>
    <mergeCell ref="D26:G26"/>
    <mergeCell ref="H26:K26"/>
    <mergeCell ref="D27:D28"/>
    <mergeCell ref="E27:G27"/>
    <mergeCell ref="A13:I13"/>
    <mergeCell ref="A14:I14"/>
    <mergeCell ref="B382:B389"/>
    <mergeCell ref="B85:K85"/>
    <mergeCell ref="D86:G86"/>
    <mergeCell ref="H86:K86"/>
    <mergeCell ref="B305:B306"/>
    <mergeCell ref="D305:G305"/>
    <mergeCell ref="H305:K305"/>
    <mergeCell ref="C66:C69"/>
    <mergeCell ref="D66:G69"/>
    <mergeCell ref="H66:K69"/>
    <mergeCell ref="A27:A28"/>
    <mergeCell ref="B54:K54"/>
    <mergeCell ref="B374:B381"/>
    <mergeCell ref="D357:G357"/>
    <mergeCell ref="B356:K356"/>
    <mergeCell ref="B411:K411"/>
    <mergeCell ref="B412:B414"/>
    <mergeCell ref="C412:C414"/>
    <mergeCell ref="D412:G412"/>
    <mergeCell ref="H412:K412"/>
    <mergeCell ref="D413:D414"/>
    <mergeCell ref="E413:G413"/>
    <mergeCell ref="H413:H414"/>
    <mergeCell ref="I413:K413"/>
    <mergeCell ref="B399:B408"/>
    <mergeCell ref="H357:K357"/>
    <mergeCell ref="B358:B365"/>
    <mergeCell ref="B366:B373"/>
    <mergeCell ref="B390:B398"/>
    <mergeCell ref="D390:G390"/>
    <mergeCell ref="B468:B479"/>
    <mergeCell ref="B415:B419"/>
    <mergeCell ref="B420:B431"/>
    <mergeCell ref="B432:B443"/>
    <mergeCell ref="B444:B455"/>
    <mergeCell ref="B456:B467"/>
  </mergeCells>
  <pageMargins left="0.31496062992125984" right="0.31496062992125984" top="0.35433070866141736" bottom="0.35433070866141736" header="0.31496062992125984" footer="0.31496062992125984"/>
  <pageSetup paperSize="9" scale="90" orientation="portrait" r:id="rId1"/>
  <rowBreaks count="2" manualBreakCount="2">
    <brk id="53" max="10" man="1"/>
    <brk id="84" max="10"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
  <sheetViews>
    <sheetView workbookViewId="0">
      <selection activeCell="J8" sqref="J8"/>
    </sheetView>
  </sheetViews>
  <sheetFormatPr baseColWidth="10" defaultColWidth="8.88671875" defaultRowHeight="14.4"/>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
  <sheetViews>
    <sheetView workbookViewId="0">
      <selection activeCell="J8" sqref="J8"/>
    </sheetView>
  </sheetViews>
  <sheetFormatPr baseColWidth="10" defaultColWidth="8.88671875" defaultRowHeight="14.4"/>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
  <sheetViews>
    <sheetView workbookViewId="0">
      <selection activeCell="E9" sqref="E9"/>
    </sheetView>
  </sheetViews>
  <sheetFormatPr baseColWidth="10" defaultColWidth="8.88671875" defaultRowHeight="14.4"/>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1" tint="4.9989318521683403E-2"/>
  </sheetPr>
  <dimension ref="A1:M86"/>
  <sheetViews>
    <sheetView showGridLines="0" topLeftCell="A27" zoomScale="90" zoomScaleNormal="90" workbookViewId="0">
      <selection activeCell="B43" sqref="B43:B45"/>
    </sheetView>
  </sheetViews>
  <sheetFormatPr baseColWidth="10" defaultColWidth="8.77734375" defaultRowHeight="13.8"/>
  <cols>
    <col min="1" max="1" width="3.21875" style="218" customWidth="1"/>
    <col min="2" max="2" width="23.21875" style="218" customWidth="1"/>
    <col min="3" max="3" width="16.77734375" style="218" customWidth="1"/>
    <col min="4" max="4" width="21.44140625" style="218" customWidth="1"/>
    <col min="5" max="5" width="19.21875" style="278" customWidth="1"/>
    <col min="6" max="6" width="16.44140625" style="218" customWidth="1"/>
    <col min="7" max="8" width="16.21875" style="218" customWidth="1"/>
    <col min="9" max="9" width="12.5546875" style="218" customWidth="1"/>
    <col min="10" max="10" width="19.5546875" style="218" customWidth="1"/>
    <col min="11" max="13" width="10.6640625" style="218" customWidth="1"/>
    <col min="14" max="16384" width="8.77734375" style="218"/>
  </cols>
  <sheetData>
    <row r="1" spans="1:13" s="318" customFormat="1" ht="24" customHeight="1">
      <c r="A1" s="314" t="s">
        <v>1087</v>
      </c>
      <c r="E1" s="331"/>
      <c r="K1" s="332"/>
      <c r="L1" s="333"/>
    </row>
    <row r="2" spans="1:13" s="215" customFormat="1" ht="18">
      <c r="A2" s="50" t="e">
        <f>IF(subnational="Y",subnational_name&amp;""&amp;selected_country,selected_country)</f>
        <v>#NAME?</v>
      </c>
      <c r="B2" s="453"/>
      <c r="E2" s="277"/>
      <c r="K2" s="216"/>
      <c r="L2" s="217"/>
    </row>
    <row r="4" spans="1:13" s="51" customFormat="1" ht="14.4">
      <c r="A4" s="104" t="s">
        <v>1091</v>
      </c>
      <c r="E4" s="334"/>
      <c r="K4" s="52"/>
      <c r="L4" s="53"/>
    </row>
    <row r="5" spans="1:13">
      <c r="A5" s="211"/>
      <c r="B5" s="226"/>
      <c r="C5" s="227"/>
    </row>
    <row r="6" spans="1:13">
      <c r="B6" s="212" t="str">
        <f>"Inflation rates to adjust unit costs between cost years ("&amp;selected_country&amp;")"</f>
        <v>Inflation rates to adjust unit costs between cost years ()</v>
      </c>
      <c r="C6" s="213"/>
      <c r="D6" s="214"/>
      <c r="E6" s="220"/>
      <c r="F6" s="278"/>
      <c r="J6" s="248" t="str">
        <f>"Financial indicators ("&amp;selected_country&amp;")"</f>
        <v>Financial indicators ()</v>
      </c>
    </row>
    <row r="7" spans="1:13" ht="22.95" customHeight="1">
      <c r="B7" s="273" t="s">
        <v>1109</v>
      </c>
      <c r="C7" s="273" t="s">
        <v>1180</v>
      </c>
      <c r="D7" s="273" t="s">
        <v>1110</v>
      </c>
      <c r="E7" s="274" t="s">
        <v>1165</v>
      </c>
      <c r="F7" s="1179" t="s">
        <v>20</v>
      </c>
      <c r="G7" s="1179"/>
      <c r="H7" s="580"/>
      <c r="J7" s="282"/>
      <c r="K7" s="273" t="s">
        <v>1108</v>
      </c>
      <c r="L7" s="1179" t="s">
        <v>20</v>
      </c>
      <c r="M7" s="1179"/>
    </row>
    <row r="8" spans="1:13">
      <c r="B8" s="275">
        <v>2015</v>
      </c>
      <c r="C8" s="329">
        <v>0</v>
      </c>
      <c r="D8" s="275">
        <v>6</v>
      </c>
      <c r="E8" s="281">
        <f t="shared" ref="E8:E13" si="0">E9*(1+C8)</f>
        <v>1</v>
      </c>
      <c r="F8" s="279"/>
      <c r="J8" s="283" t="s">
        <v>1092</v>
      </c>
      <c r="K8" s="286">
        <v>0</v>
      </c>
      <c r="L8" s="284" t="s">
        <v>1093</v>
      </c>
    </row>
    <row r="9" spans="1:13">
      <c r="B9" s="275">
        <v>2016</v>
      </c>
      <c r="C9" s="329">
        <v>0</v>
      </c>
      <c r="D9" s="275">
        <v>5</v>
      </c>
      <c r="E9" s="281">
        <f t="shared" si="0"/>
        <v>1</v>
      </c>
      <c r="F9" s="279"/>
      <c r="J9" s="285" t="s">
        <v>1094</v>
      </c>
      <c r="K9" s="286">
        <f>inflation_rate</f>
        <v>0</v>
      </c>
      <c r="L9" s="284" t="s">
        <v>1093</v>
      </c>
    </row>
    <row r="10" spans="1:13">
      <c r="B10" s="275">
        <v>2017</v>
      </c>
      <c r="C10" s="329">
        <v>0</v>
      </c>
      <c r="D10" s="275">
        <v>4</v>
      </c>
      <c r="E10" s="281">
        <f t="shared" si="0"/>
        <v>1</v>
      </c>
      <c r="F10" s="279"/>
      <c r="J10" s="285" t="s">
        <v>1095</v>
      </c>
      <c r="K10" s="287">
        <v>0</v>
      </c>
      <c r="L10" s="280" t="s">
        <v>1093</v>
      </c>
    </row>
    <row r="11" spans="1:13">
      <c r="B11" s="275">
        <v>2018</v>
      </c>
      <c r="C11" s="330">
        <v>0</v>
      </c>
      <c r="D11" s="275">
        <v>3</v>
      </c>
      <c r="E11" s="281">
        <f t="shared" si="0"/>
        <v>1</v>
      </c>
      <c r="F11" s="279"/>
    </row>
    <row r="12" spans="1:13">
      <c r="B12" s="275">
        <v>2019</v>
      </c>
      <c r="C12" s="330">
        <v>0</v>
      </c>
      <c r="D12" s="275">
        <v>2</v>
      </c>
      <c r="E12" s="281">
        <f t="shared" si="0"/>
        <v>1</v>
      </c>
      <c r="F12" s="279"/>
    </row>
    <row r="13" spans="1:13">
      <c r="B13" s="275">
        <v>2020</v>
      </c>
      <c r="C13" s="330">
        <v>0</v>
      </c>
      <c r="D13" s="275">
        <v>1</v>
      </c>
      <c r="E13" s="281">
        <f t="shared" si="0"/>
        <v>1</v>
      </c>
      <c r="F13" s="279"/>
    </row>
    <row r="14" spans="1:13">
      <c r="B14" s="276">
        <v>2021</v>
      </c>
      <c r="C14" s="330">
        <v>0</v>
      </c>
      <c r="D14" s="275">
        <v>0</v>
      </c>
      <c r="E14" s="328">
        <v>1</v>
      </c>
      <c r="F14" s="279"/>
    </row>
    <row r="17" spans="1:12" s="51" customFormat="1" ht="14.4">
      <c r="A17" s="104" t="s">
        <v>1154</v>
      </c>
      <c r="E17" s="334"/>
      <c r="K17" s="52"/>
      <c r="L17" s="53"/>
    </row>
    <row r="18" spans="1:12" ht="14.55" customHeight="1"/>
    <row r="19" spans="1:12" ht="14.55" customHeight="1">
      <c r="B19" s="248" t="s">
        <v>1181</v>
      </c>
    </row>
    <row r="20" spans="1:12" ht="23.55" customHeight="1">
      <c r="B20" s="338"/>
      <c r="C20" s="338" t="s">
        <v>1111</v>
      </c>
      <c r="D20" s="614" t="s">
        <v>1112</v>
      </c>
    </row>
    <row r="21" spans="1:12">
      <c r="B21" s="283" t="s">
        <v>1119</v>
      </c>
      <c r="C21" s="276" t="s">
        <v>1113</v>
      </c>
      <c r="D21" s="339">
        <v>52</v>
      </c>
    </row>
    <row r="22" spans="1:12">
      <c r="B22" s="283" t="s">
        <v>1120</v>
      </c>
      <c r="C22" s="276" t="s">
        <v>1114</v>
      </c>
      <c r="D22" s="339">
        <v>12</v>
      </c>
    </row>
    <row r="23" spans="1:12">
      <c r="B23" s="283" t="s">
        <v>1121</v>
      </c>
      <c r="C23" s="276" t="s">
        <v>1115</v>
      </c>
      <c r="D23" s="339">
        <v>21</v>
      </c>
    </row>
    <row r="24" spans="1:12">
      <c r="B24" s="283" t="s">
        <v>1122</v>
      </c>
      <c r="C24" s="276" t="s">
        <v>1116</v>
      </c>
      <c r="D24" s="339">
        <v>10</v>
      </c>
    </row>
    <row r="25" spans="1:12">
      <c r="B25" s="283" t="s">
        <v>1123</v>
      </c>
      <c r="C25" s="276" t="s">
        <v>1117</v>
      </c>
      <c r="D25" s="339">
        <v>5</v>
      </c>
    </row>
    <row r="26" spans="1:12">
      <c r="B26" s="283" t="s">
        <v>1124</v>
      </c>
      <c r="C26" s="276" t="s">
        <v>1118</v>
      </c>
      <c r="D26" s="339">
        <v>8</v>
      </c>
    </row>
    <row r="27" spans="1:12">
      <c r="B27" s="340" t="s">
        <v>1125</v>
      </c>
      <c r="C27" s="340" t="s">
        <v>1155</v>
      </c>
      <c r="D27" s="341">
        <f>(D21*D25)-(D22+D23+D24)</f>
        <v>217</v>
      </c>
    </row>
    <row r="28" spans="1:12">
      <c r="B28" s="340" t="s">
        <v>1126</v>
      </c>
      <c r="C28" s="340" t="s">
        <v>1129</v>
      </c>
      <c r="D28" s="341">
        <f>D27/12</f>
        <v>18.083333333333332</v>
      </c>
    </row>
    <row r="29" spans="1:12">
      <c r="B29" s="340" t="s">
        <v>1127</v>
      </c>
      <c r="C29" s="340" t="s">
        <v>1130</v>
      </c>
      <c r="D29" s="341">
        <f>D27/D21</f>
        <v>4.1730769230769234</v>
      </c>
    </row>
    <row r="30" spans="1:12">
      <c r="B30" s="340" t="s">
        <v>1410</v>
      </c>
      <c r="C30" s="340" t="s">
        <v>1409</v>
      </c>
      <c r="D30" s="342">
        <f>D27*D26</f>
        <v>1736</v>
      </c>
    </row>
    <row r="31" spans="1:12">
      <c r="B31" s="340" t="s">
        <v>1128</v>
      </c>
      <c r="C31" s="340" t="s">
        <v>1411</v>
      </c>
      <c r="D31" s="613">
        <f>D30*60</f>
        <v>104160</v>
      </c>
    </row>
    <row r="32" spans="1:12">
      <c r="D32" s="612"/>
    </row>
    <row r="33" spans="1:10" ht="14.4">
      <c r="B33" s="610" t="s">
        <v>1408</v>
      </c>
      <c r="C33" s="641"/>
      <c r="D33" s="609"/>
      <c r="E33" s="611">
        <v>0.1</v>
      </c>
    </row>
    <row r="34" spans="1:10">
      <c r="B34" s="248"/>
    </row>
    <row r="35" spans="1:10">
      <c r="B35" s="248" t="s">
        <v>1218</v>
      </c>
    </row>
    <row r="36" spans="1:10" s="239" customFormat="1" ht="27.6">
      <c r="B36" s="838" t="s">
        <v>1412</v>
      </c>
      <c r="C36" s="839"/>
      <c r="D36" s="840" t="str">
        <f>"Total annual cost ("&amp;currency_enter&amp;")"</f>
        <v>Total annual cost ()</v>
      </c>
      <c r="E36" s="840" t="s">
        <v>1201</v>
      </c>
      <c r="F36" s="840" t="s">
        <v>1134</v>
      </c>
      <c r="G36" s="841" t="str">
        <f>"Total annual cost ("&amp;currency_enter&amp;")"</f>
        <v>Total annual cost ()</v>
      </c>
      <c r="H36" s="841" t="s">
        <v>1413</v>
      </c>
      <c r="I36" s="841" t="str">
        <f>"Salary /minute ("&amp;currency_enter&amp;")"</f>
        <v>Salary /minute ()</v>
      </c>
      <c r="J36" s="842" t="s">
        <v>1202</v>
      </c>
    </row>
    <row r="37" spans="1:10" s="239" customFormat="1" ht="15.45" customHeight="1">
      <c r="B37" s="843"/>
      <c r="C37" s="844"/>
      <c r="D37" s="845">
        <v>2019</v>
      </c>
      <c r="E37" s="845"/>
      <c r="F37" s="845"/>
      <c r="G37" s="845">
        <f>baseline_year</f>
        <v>0</v>
      </c>
      <c r="H37" s="845"/>
      <c r="I37" s="845">
        <f>baseline_year</f>
        <v>0</v>
      </c>
      <c r="J37" s="846"/>
    </row>
    <row r="38" spans="1:10">
      <c r="A38" s="232"/>
      <c r="B38" s="349"/>
      <c r="D38" s="367"/>
      <c r="E38" s="218"/>
      <c r="G38" s="367"/>
      <c r="H38" s="367"/>
      <c r="I38" s="367"/>
    </row>
    <row r="39" spans="1:10">
      <c r="A39" s="232">
        <v>1</v>
      </c>
      <c r="B39" s="829" t="s">
        <v>836</v>
      </c>
      <c r="C39" s="230"/>
      <c r="D39" s="830">
        <f>VLOOKUP(B39,'Ref | Salary_Scales'!$W$91:$AD$500,8,FALSE)</f>
        <v>315482.84999999998</v>
      </c>
      <c r="E39" s="230">
        <v>2019</v>
      </c>
      <c r="F39" s="230">
        <f t="shared" ref="F39" si="1">IF(baseline_year-E39&gt;-1,baseline_year-E39,0)</f>
        <v>0</v>
      </c>
      <c r="G39" s="830">
        <f>D39*VLOOKUP(F39,$D$8:$E$14,2,FALSE)</f>
        <v>315482.84999999998</v>
      </c>
      <c r="H39" s="830">
        <f>$D$30</f>
        <v>1736</v>
      </c>
      <c r="I39" s="830">
        <f>G39/$D$31</f>
        <v>3.0288292050691243</v>
      </c>
      <c r="J39" s="229"/>
    </row>
    <row r="40" spans="1:10">
      <c r="A40" s="232">
        <v>2</v>
      </c>
      <c r="B40" s="831" t="s">
        <v>837</v>
      </c>
      <c r="C40" s="219"/>
      <c r="D40" s="832">
        <f>VLOOKUP(B40,'Ref | Salary_Scales'!$W$91:$AD$500,8,FALSE)</f>
        <v>315482.84999999998</v>
      </c>
      <c r="E40" s="219">
        <v>2019</v>
      </c>
      <c r="F40" s="219">
        <f t="shared" ref="F40:F46" si="2">IF(baseline_year-E40&gt;-1,baseline_year-E40,0)</f>
        <v>0</v>
      </c>
      <c r="G40" s="832">
        <f t="shared" ref="G40:G46" si="3">D40*VLOOKUP(F40,$D$8:$E$14,2,FALSE)</f>
        <v>315482.84999999998</v>
      </c>
      <c r="H40" s="832">
        <f t="shared" ref="H40:H81" si="4">$D$30</f>
        <v>1736</v>
      </c>
      <c r="I40" s="832">
        <f t="shared" ref="I40:I81" si="5">G40/$D$31</f>
        <v>3.0288292050691243</v>
      </c>
      <c r="J40" s="437"/>
    </row>
    <row r="41" spans="1:10">
      <c r="A41" s="232">
        <v>3</v>
      </c>
      <c r="B41" s="831" t="s">
        <v>839</v>
      </c>
      <c r="C41" s="219"/>
      <c r="D41" s="832">
        <f>VLOOKUP(B41,'Ref | Salary_Scales'!$W$91:$AD$500,8,FALSE)</f>
        <v>315482.84999999998</v>
      </c>
      <c r="E41" s="219">
        <v>2019</v>
      </c>
      <c r="F41" s="219">
        <f t="shared" si="2"/>
        <v>0</v>
      </c>
      <c r="G41" s="832">
        <f t="shared" si="3"/>
        <v>315482.84999999998</v>
      </c>
      <c r="H41" s="832">
        <f t="shared" si="4"/>
        <v>1736</v>
      </c>
      <c r="I41" s="832">
        <f t="shared" si="5"/>
        <v>3.0288292050691243</v>
      </c>
      <c r="J41" s="437"/>
    </row>
    <row r="42" spans="1:10">
      <c r="A42" s="232">
        <v>4</v>
      </c>
      <c r="B42" s="831" t="s">
        <v>841</v>
      </c>
      <c r="C42" s="219"/>
      <c r="D42" s="832">
        <f>VLOOKUP(B42,'Ref | Salary_Scales'!$W$91:$AD$500,8,FALSE)</f>
        <v>315482.84999999998</v>
      </c>
      <c r="E42" s="219">
        <v>2019</v>
      </c>
      <c r="F42" s="219">
        <f t="shared" si="2"/>
        <v>0</v>
      </c>
      <c r="G42" s="832">
        <f t="shared" si="3"/>
        <v>315482.84999999998</v>
      </c>
      <c r="H42" s="832">
        <f t="shared" si="4"/>
        <v>1736</v>
      </c>
      <c r="I42" s="832">
        <f t="shared" si="5"/>
        <v>3.0288292050691243</v>
      </c>
      <c r="J42" s="437"/>
    </row>
    <row r="43" spans="1:10">
      <c r="A43" s="232">
        <v>5</v>
      </c>
      <c r="B43" s="831" t="s">
        <v>842</v>
      </c>
      <c r="C43" s="219"/>
      <c r="D43" s="832">
        <f>VLOOKUP(B43,'Ref | Salary_Scales'!$W$91:$AD$500,8,FALSE)</f>
        <v>315482.84999999998</v>
      </c>
      <c r="E43" s="219">
        <v>2019</v>
      </c>
      <c r="F43" s="219">
        <f t="shared" si="2"/>
        <v>0</v>
      </c>
      <c r="G43" s="832">
        <f t="shared" si="3"/>
        <v>315482.84999999998</v>
      </c>
      <c r="H43" s="832">
        <f t="shared" si="4"/>
        <v>1736</v>
      </c>
      <c r="I43" s="832">
        <f t="shared" si="5"/>
        <v>3.0288292050691243</v>
      </c>
      <c r="J43" s="437"/>
    </row>
    <row r="44" spans="1:10">
      <c r="A44" s="232">
        <v>6</v>
      </c>
      <c r="B44" s="831" t="s">
        <v>846</v>
      </c>
      <c r="C44" s="219"/>
      <c r="D44" s="832">
        <f>VLOOKUP(B44,'Ref | Salary_Scales'!$W$91:$AD$500,8,FALSE)</f>
        <v>315482.84999999998</v>
      </c>
      <c r="E44" s="219">
        <v>2019</v>
      </c>
      <c r="F44" s="219">
        <f t="shared" si="2"/>
        <v>0</v>
      </c>
      <c r="G44" s="832">
        <f t="shared" si="3"/>
        <v>315482.84999999998</v>
      </c>
      <c r="H44" s="832">
        <f t="shared" si="4"/>
        <v>1736</v>
      </c>
      <c r="I44" s="832">
        <f t="shared" si="5"/>
        <v>3.0288292050691243</v>
      </c>
      <c r="J44" s="437"/>
    </row>
    <row r="45" spans="1:10">
      <c r="A45" s="232">
        <v>7</v>
      </c>
      <c r="B45" s="831" t="s">
        <v>850</v>
      </c>
      <c r="C45" s="219"/>
      <c r="D45" s="832">
        <f>VLOOKUP(B45,'Ref | Salary_Scales'!$W$91:$AD$500,8,FALSE)</f>
        <v>315482.84999999998</v>
      </c>
      <c r="E45" s="219">
        <v>2019</v>
      </c>
      <c r="F45" s="219">
        <f t="shared" si="2"/>
        <v>0</v>
      </c>
      <c r="G45" s="832">
        <f t="shared" si="3"/>
        <v>315482.84999999998</v>
      </c>
      <c r="H45" s="832">
        <f t="shared" si="4"/>
        <v>1736</v>
      </c>
      <c r="I45" s="832">
        <f t="shared" si="5"/>
        <v>3.0288292050691243</v>
      </c>
      <c r="J45" s="437"/>
    </row>
    <row r="46" spans="1:10">
      <c r="A46" s="232">
        <v>8</v>
      </c>
      <c r="B46" s="831" t="s">
        <v>852</v>
      </c>
      <c r="C46" s="219"/>
      <c r="D46" s="832">
        <f>VLOOKUP(B46,'Ref | Salary_Scales'!$W$91:$AD$500,8,FALSE)</f>
        <v>315482.84999999998</v>
      </c>
      <c r="E46" s="219">
        <v>2019</v>
      </c>
      <c r="F46" s="219">
        <f t="shared" si="2"/>
        <v>0</v>
      </c>
      <c r="G46" s="832">
        <f t="shared" si="3"/>
        <v>315482.84999999998</v>
      </c>
      <c r="H46" s="832">
        <f t="shared" si="4"/>
        <v>1736</v>
      </c>
      <c r="I46" s="832">
        <f t="shared" si="5"/>
        <v>3.0288292050691243</v>
      </c>
      <c r="J46" s="437"/>
    </row>
    <row r="47" spans="1:10">
      <c r="A47" s="232">
        <v>9</v>
      </c>
      <c r="B47" s="831" t="s">
        <v>756</v>
      </c>
      <c r="C47" s="219"/>
      <c r="D47" s="832">
        <f>VLOOKUP(B47,'Ref | Salary_Scales'!$W$91:$AD$500,8,FALSE)</f>
        <v>549417.6</v>
      </c>
      <c r="E47" s="219">
        <v>2019</v>
      </c>
      <c r="F47" s="219">
        <f t="shared" ref="F47:F81" si="6">IF(baseline_year-E47&gt;-1,baseline_year-E47,0)</f>
        <v>0</v>
      </c>
      <c r="G47" s="832">
        <f>D47*VLOOKUP(F47,$D$8:$E$14,2,FALSE)</f>
        <v>549417.6</v>
      </c>
      <c r="H47" s="832">
        <f t="shared" si="4"/>
        <v>1736</v>
      </c>
      <c r="I47" s="832">
        <f t="shared" si="5"/>
        <v>5.2747465437788019</v>
      </c>
      <c r="J47" s="437"/>
    </row>
    <row r="48" spans="1:10">
      <c r="A48" s="232">
        <v>10</v>
      </c>
      <c r="B48" s="831" t="s">
        <v>1385</v>
      </c>
      <c r="C48" s="219"/>
      <c r="D48" s="832">
        <f>VLOOKUP(B48,'Ref | Salary_Scales'!$W$91:$AD$500,8,FALSE)</f>
        <v>549417.6</v>
      </c>
      <c r="E48" s="219">
        <v>2020</v>
      </c>
      <c r="F48" s="219">
        <f t="shared" ref="F48" si="7">IF(baseline_year-E48&gt;-1,baseline_year-E48,0)</f>
        <v>0</v>
      </c>
      <c r="G48" s="832">
        <f>D48*VLOOKUP(F48,$D$8:$E$14,2,FALSE)</f>
        <v>549417.6</v>
      </c>
      <c r="H48" s="832">
        <f t="shared" si="4"/>
        <v>1736</v>
      </c>
      <c r="I48" s="832">
        <f t="shared" si="5"/>
        <v>5.2747465437788019</v>
      </c>
      <c r="J48" s="437"/>
    </row>
    <row r="49" spans="1:10">
      <c r="A49" s="232">
        <v>11</v>
      </c>
      <c r="B49" s="833" t="s">
        <v>757</v>
      </c>
      <c r="C49" s="219"/>
      <c r="D49" s="832">
        <f>VLOOKUP(B49,'Ref | Salary_Scales'!$W$91:$AD$500,8,FALSE)</f>
        <v>549417.6</v>
      </c>
      <c r="E49" s="219">
        <v>2019</v>
      </c>
      <c r="F49" s="219">
        <f t="shared" si="6"/>
        <v>0</v>
      </c>
      <c r="G49" s="832">
        <f t="shared" ref="G49:G75" si="8">D49*VLOOKUP(F49,$D$8:$E$14,2,FALSE)</f>
        <v>549417.6</v>
      </c>
      <c r="H49" s="832">
        <f t="shared" si="4"/>
        <v>1736</v>
      </c>
      <c r="I49" s="832">
        <f t="shared" si="5"/>
        <v>5.2747465437788019</v>
      </c>
      <c r="J49" s="437"/>
    </row>
    <row r="50" spans="1:10">
      <c r="A50" s="232">
        <v>12</v>
      </c>
      <c r="B50" s="833" t="s">
        <v>1183</v>
      </c>
      <c r="C50" s="219"/>
      <c r="D50" s="832">
        <f>VLOOKUP(B50,'Ref | Salary_Scales'!$W$91:$AD$500,8,FALSE)</f>
        <v>549417.6</v>
      </c>
      <c r="E50" s="219">
        <v>2019</v>
      </c>
      <c r="F50" s="219">
        <f t="shared" si="6"/>
        <v>0</v>
      </c>
      <c r="G50" s="832">
        <f t="shared" si="8"/>
        <v>549417.6</v>
      </c>
      <c r="H50" s="832">
        <f t="shared" si="4"/>
        <v>1736</v>
      </c>
      <c r="I50" s="832">
        <f t="shared" si="5"/>
        <v>5.2747465437788019</v>
      </c>
      <c r="J50" s="437"/>
    </row>
    <row r="51" spans="1:10">
      <c r="A51" s="232">
        <v>13</v>
      </c>
      <c r="B51" s="833" t="s">
        <v>1185</v>
      </c>
      <c r="C51" s="219"/>
      <c r="D51" s="832">
        <f>VLOOKUP(B51,'Ref | Salary_Scales'!$W$91:$AD$500,8,FALSE)</f>
        <v>549417.6</v>
      </c>
      <c r="E51" s="219">
        <v>2019</v>
      </c>
      <c r="F51" s="219">
        <f t="shared" si="6"/>
        <v>0</v>
      </c>
      <c r="G51" s="832">
        <f t="shared" si="8"/>
        <v>549417.6</v>
      </c>
      <c r="H51" s="832">
        <f t="shared" si="4"/>
        <v>1736</v>
      </c>
      <c r="I51" s="832">
        <f t="shared" si="5"/>
        <v>5.2747465437788019</v>
      </c>
      <c r="J51" s="437"/>
    </row>
    <row r="52" spans="1:10">
      <c r="A52" s="232">
        <v>14</v>
      </c>
      <c r="B52" s="833" t="s">
        <v>1184</v>
      </c>
      <c r="C52" s="219"/>
      <c r="D52" s="832">
        <f>VLOOKUP(B52,'Ref | Salary_Scales'!$W$91:$AD$500,8,FALSE)</f>
        <v>549417.6</v>
      </c>
      <c r="E52" s="219">
        <v>2019</v>
      </c>
      <c r="F52" s="219">
        <f t="shared" si="6"/>
        <v>0</v>
      </c>
      <c r="G52" s="832">
        <f t="shared" si="8"/>
        <v>549417.6</v>
      </c>
      <c r="H52" s="832">
        <f t="shared" si="4"/>
        <v>1736</v>
      </c>
      <c r="I52" s="832">
        <f t="shared" si="5"/>
        <v>5.2747465437788019</v>
      </c>
      <c r="J52" s="437"/>
    </row>
    <row r="53" spans="1:10">
      <c r="A53" s="232">
        <v>15</v>
      </c>
      <c r="B53" s="833" t="s">
        <v>1186</v>
      </c>
      <c r="C53" s="219"/>
      <c r="D53" s="832">
        <f>VLOOKUP(B53,'Ref | Salary_Scales'!$W$91:$AD$500,8,FALSE)</f>
        <v>549417.6</v>
      </c>
      <c r="E53" s="219">
        <v>2019</v>
      </c>
      <c r="F53" s="219">
        <f t="shared" si="6"/>
        <v>0</v>
      </c>
      <c r="G53" s="832">
        <f t="shared" si="8"/>
        <v>549417.6</v>
      </c>
      <c r="H53" s="832">
        <f t="shared" si="4"/>
        <v>1736</v>
      </c>
      <c r="I53" s="832">
        <f t="shared" si="5"/>
        <v>5.2747465437788019</v>
      </c>
      <c r="J53" s="437"/>
    </row>
    <row r="54" spans="1:10">
      <c r="A54" s="232">
        <v>16</v>
      </c>
      <c r="B54" s="834" t="s">
        <v>1185</v>
      </c>
      <c r="C54" s="219"/>
      <c r="D54" s="832">
        <f>VLOOKUP(B54,'Ref | Salary_Scales'!$W$91:$AD$500,8,FALSE)</f>
        <v>549417.6</v>
      </c>
      <c r="E54" s="219">
        <v>2019</v>
      </c>
      <c r="F54" s="219">
        <f t="shared" si="6"/>
        <v>0</v>
      </c>
      <c r="G54" s="832">
        <f t="shared" si="8"/>
        <v>549417.6</v>
      </c>
      <c r="H54" s="832">
        <f t="shared" si="4"/>
        <v>1736</v>
      </c>
      <c r="I54" s="832">
        <f t="shared" si="5"/>
        <v>5.2747465437788019</v>
      </c>
      <c r="J54" s="437"/>
    </row>
    <row r="55" spans="1:10">
      <c r="A55" s="232">
        <v>17</v>
      </c>
      <c r="B55" s="438" t="s">
        <v>1187</v>
      </c>
      <c r="C55" s="219"/>
      <c r="D55" s="832">
        <f>VLOOKUP(B55,'Ref | Salary_Scales'!$W$91:$AD$500,8,FALSE)</f>
        <v>710477.32499999995</v>
      </c>
      <c r="E55" s="219">
        <v>2019</v>
      </c>
      <c r="F55" s="219">
        <f t="shared" si="6"/>
        <v>0</v>
      </c>
      <c r="G55" s="832">
        <f t="shared" si="8"/>
        <v>710477.32499999995</v>
      </c>
      <c r="H55" s="832">
        <f t="shared" si="4"/>
        <v>1736</v>
      </c>
      <c r="I55" s="832">
        <f t="shared" si="5"/>
        <v>6.8210188652073729</v>
      </c>
      <c r="J55" s="437"/>
    </row>
    <row r="56" spans="1:10">
      <c r="A56" s="232">
        <v>18</v>
      </c>
      <c r="B56" s="438" t="s">
        <v>1188</v>
      </c>
      <c r="C56" s="219"/>
      <c r="D56" s="832">
        <f>VLOOKUP(B56,'Ref | Salary_Scales'!$W$91:$AD$500,8,FALSE)</f>
        <v>710477.32499999995</v>
      </c>
      <c r="E56" s="219">
        <v>2019</v>
      </c>
      <c r="F56" s="219">
        <f t="shared" si="6"/>
        <v>0</v>
      </c>
      <c r="G56" s="832">
        <f t="shared" si="8"/>
        <v>710477.32499999995</v>
      </c>
      <c r="H56" s="832">
        <f t="shared" si="4"/>
        <v>1736</v>
      </c>
      <c r="I56" s="832">
        <f t="shared" si="5"/>
        <v>6.8210188652073729</v>
      </c>
      <c r="J56" s="437"/>
    </row>
    <row r="57" spans="1:10">
      <c r="A57" s="232">
        <v>19</v>
      </c>
      <c r="B57" s="438" t="s">
        <v>1189</v>
      </c>
      <c r="C57" s="219"/>
      <c r="D57" s="832">
        <f>VLOOKUP(B57,'Ref | Salary_Scales'!$W$91:$AD$500,8,FALSE)</f>
        <v>710477.32499999995</v>
      </c>
      <c r="E57" s="219">
        <v>2019</v>
      </c>
      <c r="F57" s="219">
        <f t="shared" si="6"/>
        <v>0</v>
      </c>
      <c r="G57" s="832">
        <f t="shared" si="8"/>
        <v>710477.32499999995</v>
      </c>
      <c r="H57" s="832">
        <f t="shared" si="4"/>
        <v>1736</v>
      </c>
      <c r="I57" s="832">
        <f t="shared" si="5"/>
        <v>6.8210188652073729</v>
      </c>
      <c r="J57" s="437"/>
    </row>
    <row r="58" spans="1:10">
      <c r="A58" s="232">
        <v>20</v>
      </c>
      <c r="B58" s="438" t="s">
        <v>1190</v>
      </c>
      <c r="C58" s="219"/>
      <c r="D58" s="832">
        <f>VLOOKUP(B58,'Ref | Salary_Scales'!$W$91:$AD$500,8,FALSE)</f>
        <v>710477.32499999995</v>
      </c>
      <c r="E58" s="219">
        <v>2019</v>
      </c>
      <c r="F58" s="219">
        <f t="shared" si="6"/>
        <v>0</v>
      </c>
      <c r="G58" s="832">
        <f t="shared" si="8"/>
        <v>710477.32499999995</v>
      </c>
      <c r="H58" s="832">
        <f t="shared" si="4"/>
        <v>1736</v>
      </c>
      <c r="I58" s="832">
        <f t="shared" si="5"/>
        <v>6.8210188652073729</v>
      </c>
      <c r="J58" s="437"/>
    </row>
    <row r="59" spans="1:10">
      <c r="A59" s="232">
        <v>21</v>
      </c>
      <c r="B59" s="438" t="s">
        <v>1191</v>
      </c>
      <c r="C59" s="219"/>
      <c r="D59" s="832">
        <f>VLOOKUP(B59,'Ref | Salary_Scales'!$W$91:$AD$500,8,FALSE)</f>
        <v>710477.32499999995</v>
      </c>
      <c r="E59" s="219">
        <v>2019</v>
      </c>
      <c r="F59" s="219">
        <f t="shared" si="6"/>
        <v>0</v>
      </c>
      <c r="G59" s="832">
        <f t="shared" si="8"/>
        <v>710477.32499999995</v>
      </c>
      <c r="H59" s="832">
        <f t="shared" si="4"/>
        <v>1736</v>
      </c>
      <c r="I59" s="832">
        <f t="shared" si="5"/>
        <v>6.8210188652073729</v>
      </c>
      <c r="J59" s="437"/>
    </row>
    <row r="60" spans="1:10">
      <c r="A60" s="232">
        <v>22</v>
      </c>
      <c r="B60" s="438" t="s">
        <v>1192</v>
      </c>
      <c r="C60" s="219"/>
      <c r="D60" s="832">
        <f>VLOOKUP(B60,'Ref | Salary_Scales'!$W$91:$AD$500,8,FALSE)</f>
        <v>710477.32499999995</v>
      </c>
      <c r="E60" s="219">
        <v>2019</v>
      </c>
      <c r="F60" s="219">
        <f t="shared" si="6"/>
        <v>0</v>
      </c>
      <c r="G60" s="832">
        <f t="shared" si="8"/>
        <v>710477.32499999995</v>
      </c>
      <c r="H60" s="832">
        <f t="shared" si="4"/>
        <v>1736</v>
      </c>
      <c r="I60" s="832">
        <f t="shared" si="5"/>
        <v>6.8210188652073729</v>
      </c>
      <c r="J60" s="437"/>
    </row>
    <row r="61" spans="1:10">
      <c r="A61" s="232">
        <v>23</v>
      </c>
      <c r="B61" s="438" t="s">
        <v>1193</v>
      </c>
      <c r="C61" s="219"/>
      <c r="D61" s="832">
        <f>VLOOKUP(B61,'Ref | Salary_Scales'!$W$91:$AD$500,8,FALSE)</f>
        <v>710477.32499999995</v>
      </c>
      <c r="E61" s="219">
        <v>2019</v>
      </c>
      <c r="F61" s="219">
        <f t="shared" si="6"/>
        <v>0</v>
      </c>
      <c r="G61" s="832">
        <f t="shared" si="8"/>
        <v>710477.32499999995</v>
      </c>
      <c r="H61" s="832">
        <f t="shared" si="4"/>
        <v>1736</v>
      </c>
      <c r="I61" s="832">
        <f t="shared" si="5"/>
        <v>6.8210188652073729</v>
      </c>
      <c r="J61" s="437"/>
    </row>
    <row r="62" spans="1:10">
      <c r="A62" s="232">
        <v>24</v>
      </c>
      <c r="B62" s="438" t="s">
        <v>1209</v>
      </c>
      <c r="C62" s="219"/>
      <c r="D62" s="832">
        <f>VLOOKUP(B62,'Ref | Salary_Scales'!$W$91:$AD$500,8,FALSE)</f>
        <v>788513.73750000005</v>
      </c>
      <c r="E62" s="219">
        <v>2019</v>
      </c>
      <c r="F62" s="219">
        <f t="shared" si="6"/>
        <v>0</v>
      </c>
      <c r="G62" s="832">
        <f t="shared" si="8"/>
        <v>788513.73750000005</v>
      </c>
      <c r="H62" s="832">
        <f t="shared" si="4"/>
        <v>1736</v>
      </c>
      <c r="I62" s="832">
        <f t="shared" si="5"/>
        <v>7.5702163738479271</v>
      </c>
      <c r="J62" s="437"/>
    </row>
    <row r="63" spans="1:10">
      <c r="A63" s="232">
        <v>25</v>
      </c>
      <c r="B63" s="438" t="s">
        <v>1210</v>
      </c>
      <c r="C63" s="219"/>
      <c r="D63" s="832">
        <f>VLOOKUP(B63,'Ref | Salary_Scales'!$W$91:$AD$500,8,FALSE)</f>
        <v>788513.73750000005</v>
      </c>
      <c r="E63" s="219">
        <v>2019</v>
      </c>
      <c r="F63" s="219">
        <f t="shared" si="6"/>
        <v>0</v>
      </c>
      <c r="G63" s="832">
        <f t="shared" si="8"/>
        <v>788513.73750000005</v>
      </c>
      <c r="H63" s="832">
        <f t="shared" si="4"/>
        <v>1736</v>
      </c>
      <c r="I63" s="832">
        <f t="shared" si="5"/>
        <v>7.5702163738479271</v>
      </c>
      <c r="J63" s="437"/>
    </row>
    <row r="64" spans="1:10">
      <c r="A64" s="232">
        <v>26</v>
      </c>
      <c r="B64" s="438" t="s">
        <v>1211</v>
      </c>
      <c r="C64" s="219"/>
      <c r="D64" s="832">
        <f>VLOOKUP(B64,'Ref | Salary_Scales'!$W$91:$AD$500,8,FALSE)</f>
        <v>788513.73750000005</v>
      </c>
      <c r="E64" s="219">
        <v>2019</v>
      </c>
      <c r="F64" s="219">
        <f t="shared" si="6"/>
        <v>0</v>
      </c>
      <c r="G64" s="832">
        <f t="shared" si="8"/>
        <v>788513.73750000005</v>
      </c>
      <c r="H64" s="832">
        <f t="shared" si="4"/>
        <v>1736</v>
      </c>
      <c r="I64" s="832">
        <f t="shared" si="5"/>
        <v>7.5702163738479271</v>
      </c>
      <c r="J64" s="437"/>
    </row>
    <row r="65" spans="1:10">
      <c r="A65" s="232">
        <v>27</v>
      </c>
      <c r="B65" s="438" t="s">
        <v>1212</v>
      </c>
      <c r="C65" s="219"/>
      <c r="D65" s="832">
        <f>VLOOKUP(B65,'Ref | Salary_Scales'!$W$91:$AD$500,8,FALSE)</f>
        <v>788513.73750000005</v>
      </c>
      <c r="E65" s="219">
        <v>2019</v>
      </c>
      <c r="F65" s="219">
        <f t="shared" si="6"/>
        <v>0</v>
      </c>
      <c r="G65" s="832">
        <f t="shared" si="8"/>
        <v>788513.73750000005</v>
      </c>
      <c r="H65" s="832">
        <f t="shared" si="4"/>
        <v>1736</v>
      </c>
      <c r="I65" s="832">
        <f t="shared" si="5"/>
        <v>7.5702163738479271</v>
      </c>
      <c r="J65" s="437"/>
    </row>
    <row r="66" spans="1:10">
      <c r="A66" s="232">
        <v>28</v>
      </c>
      <c r="B66" s="438" t="s">
        <v>1213</v>
      </c>
      <c r="C66" s="219"/>
      <c r="D66" s="832">
        <f>VLOOKUP(B66,'Ref | Salary_Scales'!$W$91:$AD$500,8,FALSE)</f>
        <v>788513.73750000005</v>
      </c>
      <c r="E66" s="219">
        <v>2019</v>
      </c>
      <c r="F66" s="219">
        <f t="shared" si="6"/>
        <v>0</v>
      </c>
      <c r="G66" s="832">
        <f t="shared" si="8"/>
        <v>788513.73750000005</v>
      </c>
      <c r="H66" s="832">
        <f t="shared" si="4"/>
        <v>1736</v>
      </c>
      <c r="I66" s="832">
        <f t="shared" si="5"/>
        <v>7.5702163738479271</v>
      </c>
      <c r="J66" s="437"/>
    </row>
    <row r="67" spans="1:10">
      <c r="A67" s="232">
        <v>29</v>
      </c>
      <c r="B67" s="438" t="s">
        <v>1214</v>
      </c>
      <c r="C67" s="219"/>
      <c r="D67" s="832">
        <f>VLOOKUP(B67,'Ref | Salary_Scales'!$W$91:$AD$500,8,FALSE)</f>
        <v>788513.73750000005</v>
      </c>
      <c r="E67" s="219">
        <v>2019</v>
      </c>
      <c r="F67" s="219">
        <f t="shared" si="6"/>
        <v>0</v>
      </c>
      <c r="G67" s="832">
        <f t="shared" si="8"/>
        <v>788513.73750000005</v>
      </c>
      <c r="H67" s="832">
        <f t="shared" si="4"/>
        <v>1736</v>
      </c>
      <c r="I67" s="832">
        <f t="shared" si="5"/>
        <v>7.5702163738479271</v>
      </c>
      <c r="J67" s="437"/>
    </row>
    <row r="68" spans="1:10">
      <c r="A68" s="232">
        <v>30</v>
      </c>
      <c r="B68" s="438" t="s">
        <v>1215</v>
      </c>
      <c r="C68" s="219"/>
      <c r="D68" s="832">
        <f>VLOOKUP(B68,'Ref | Salary_Scales'!$W$91:$AD$500,8,FALSE)</f>
        <v>788513.73750000005</v>
      </c>
      <c r="E68" s="219">
        <v>2019</v>
      </c>
      <c r="F68" s="219">
        <f t="shared" si="6"/>
        <v>0</v>
      </c>
      <c r="G68" s="832">
        <f t="shared" si="8"/>
        <v>788513.73750000005</v>
      </c>
      <c r="H68" s="832">
        <f t="shared" si="4"/>
        <v>1736</v>
      </c>
      <c r="I68" s="832">
        <f t="shared" si="5"/>
        <v>7.5702163738479271</v>
      </c>
      <c r="J68" s="437"/>
    </row>
    <row r="69" spans="1:10">
      <c r="A69" s="232">
        <v>31</v>
      </c>
      <c r="B69" s="438" t="s">
        <v>1194</v>
      </c>
      <c r="C69" s="219"/>
      <c r="D69" s="832">
        <f>VLOOKUP(B69,'Ref | Salary_Scales'!$W$91:$AD$500,8,FALSE)</f>
        <v>1317574.3500000001</v>
      </c>
      <c r="E69" s="219">
        <v>2019</v>
      </c>
      <c r="F69" s="219">
        <f t="shared" si="6"/>
        <v>0</v>
      </c>
      <c r="G69" s="832">
        <f t="shared" si="8"/>
        <v>1317574.3500000001</v>
      </c>
      <c r="H69" s="832">
        <f t="shared" si="4"/>
        <v>1736</v>
      </c>
      <c r="I69" s="832">
        <f t="shared" si="5"/>
        <v>12.649523329493089</v>
      </c>
      <c r="J69" s="437"/>
    </row>
    <row r="70" spans="1:10">
      <c r="A70" s="232">
        <v>32</v>
      </c>
      <c r="B70" s="438" t="s">
        <v>1195</v>
      </c>
      <c r="C70" s="219"/>
      <c r="D70" s="832">
        <f>VLOOKUP(B70,'Ref | Salary_Scales'!$W$91:$AD$500,8,FALSE)</f>
        <v>1317574.3500000001</v>
      </c>
      <c r="E70" s="219">
        <v>2019</v>
      </c>
      <c r="F70" s="219">
        <f t="shared" si="6"/>
        <v>0</v>
      </c>
      <c r="G70" s="832">
        <f t="shared" si="8"/>
        <v>1317574.3500000001</v>
      </c>
      <c r="H70" s="832">
        <f t="shared" si="4"/>
        <v>1736</v>
      </c>
      <c r="I70" s="832">
        <f t="shared" si="5"/>
        <v>12.649523329493089</v>
      </c>
      <c r="J70" s="437"/>
    </row>
    <row r="71" spans="1:10">
      <c r="A71" s="232">
        <v>33</v>
      </c>
      <c r="B71" s="438" t="s">
        <v>1196</v>
      </c>
      <c r="C71" s="219"/>
      <c r="D71" s="832">
        <f>VLOOKUP(B71,'Ref | Salary_Scales'!$W$91:$AD$500,8,FALSE)</f>
        <v>1317574.3500000001</v>
      </c>
      <c r="E71" s="219">
        <v>2019</v>
      </c>
      <c r="F71" s="219">
        <f t="shared" si="6"/>
        <v>0</v>
      </c>
      <c r="G71" s="832">
        <f t="shared" si="8"/>
        <v>1317574.3500000001</v>
      </c>
      <c r="H71" s="832">
        <f t="shared" si="4"/>
        <v>1736</v>
      </c>
      <c r="I71" s="832">
        <f t="shared" si="5"/>
        <v>12.649523329493089</v>
      </c>
      <c r="J71" s="437"/>
    </row>
    <row r="72" spans="1:10">
      <c r="A72" s="232">
        <v>34</v>
      </c>
      <c r="B72" s="438" t="s">
        <v>1197</v>
      </c>
      <c r="C72" s="219"/>
      <c r="D72" s="832">
        <f>VLOOKUP(B72,'Ref | Salary_Scales'!$W$91:$AD$500,8,FALSE)</f>
        <v>1317574.3500000001</v>
      </c>
      <c r="E72" s="219">
        <v>2019</v>
      </c>
      <c r="F72" s="219">
        <f t="shared" si="6"/>
        <v>0</v>
      </c>
      <c r="G72" s="832">
        <f t="shared" si="8"/>
        <v>1317574.3500000001</v>
      </c>
      <c r="H72" s="832">
        <f t="shared" si="4"/>
        <v>1736</v>
      </c>
      <c r="I72" s="832">
        <f t="shared" si="5"/>
        <v>12.649523329493089</v>
      </c>
      <c r="J72" s="437"/>
    </row>
    <row r="73" spans="1:10">
      <c r="A73" s="232">
        <v>35</v>
      </c>
      <c r="B73" s="438" t="s">
        <v>1198</v>
      </c>
      <c r="C73" s="219"/>
      <c r="D73" s="832">
        <f>VLOOKUP(B73,'Ref | Salary_Scales'!$W$91:$AD$500,8,FALSE)</f>
        <v>1317574.3500000001</v>
      </c>
      <c r="E73" s="219">
        <v>2019</v>
      </c>
      <c r="F73" s="219">
        <f t="shared" si="6"/>
        <v>0</v>
      </c>
      <c r="G73" s="832">
        <f t="shared" si="8"/>
        <v>1317574.3500000001</v>
      </c>
      <c r="H73" s="832">
        <f t="shared" si="4"/>
        <v>1736</v>
      </c>
      <c r="I73" s="832">
        <f t="shared" si="5"/>
        <v>12.649523329493089</v>
      </c>
      <c r="J73" s="437"/>
    </row>
    <row r="74" spans="1:10">
      <c r="A74" s="232">
        <v>36</v>
      </c>
      <c r="B74" s="438" t="s">
        <v>1199</v>
      </c>
      <c r="C74" s="219"/>
      <c r="D74" s="832">
        <f>VLOOKUP(B74,'Ref | Salary_Scales'!$W$91:$AD$500,8,FALSE)</f>
        <v>1317574.3500000001</v>
      </c>
      <c r="E74" s="219">
        <v>2019</v>
      </c>
      <c r="F74" s="219">
        <f t="shared" si="6"/>
        <v>0</v>
      </c>
      <c r="G74" s="832">
        <f t="shared" si="8"/>
        <v>1317574.3500000001</v>
      </c>
      <c r="H74" s="832">
        <f t="shared" si="4"/>
        <v>1736</v>
      </c>
      <c r="I74" s="832">
        <f t="shared" si="5"/>
        <v>12.649523329493089</v>
      </c>
      <c r="J74" s="437"/>
    </row>
    <row r="75" spans="1:10">
      <c r="A75" s="232">
        <v>37</v>
      </c>
      <c r="B75" s="438" t="s">
        <v>1200</v>
      </c>
      <c r="C75" s="219"/>
      <c r="D75" s="832">
        <f>VLOOKUP(B75,'Ref | Salary_Scales'!$W$91:$AD$500,8,FALSE)</f>
        <v>1317574.3500000001</v>
      </c>
      <c r="E75" s="219">
        <v>2019</v>
      </c>
      <c r="F75" s="219">
        <f t="shared" si="6"/>
        <v>0</v>
      </c>
      <c r="G75" s="832">
        <f t="shared" si="8"/>
        <v>1317574.3500000001</v>
      </c>
      <c r="H75" s="832">
        <f t="shared" si="4"/>
        <v>1736</v>
      </c>
      <c r="I75" s="832">
        <f t="shared" si="5"/>
        <v>12.649523329493089</v>
      </c>
      <c r="J75" s="437"/>
    </row>
    <row r="76" spans="1:10">
      <c r="A76" s="232">
        <v>38</v>
      </c>
      <c r="B76" s="438" t="s">
        <v>1156</v>
      </c>
      <c r="C76" s="219"/>
      <c r="D76" s="832">
        <f>VLOOKUP(B76,'Ref | Salary_Scales'!$W$91:$AD$500,8,FALSE)</f>
        <v>341468.66249999998</v>
      </c>
      <c r="E76" s="219">
        <v>2019</v>
      </c>
      <c r="F76" s="219">
        <f t="shared" si="6"/>
        <v>0</v>
      </c>
      <c r="G76" s="832">
        <f t="shared" ref="G76:G81" si="9">D76*VLOOKUP(F76,$D$8:$E$14,2,FALSE)</f>
        <v>341468.66249999998</v>
      </c>
      <c r="H76" s="832">
        <f t="shared" si="4"/>
        <v>1736</v>
      </c>
      <c r="I76" s="832">
        <f t="shared" si="5"/>
        <v>3.2783089717741931</v>
      </c>
      <c r="J76" s="437"/>
    </row>
    <row r="77" spans="1:10">
      <c r="A77" s="232">
        <v>39</v>
      </c>
      <c r="B77" s="438" t="s">
        <v>1157</v>
      </c>
      <c r="C77" s="219"/>
      <c r="D77" s="832">
        <f>VLOOKUP(B77,'Ref | Salary_Scales'!$W$91:$AD$500,8,FALSE)</f>
        <v>341468.66249999998</v>
      </c>
      <c r="E77" s="219">
        <v>2019</v>
      </c>
      <c r="F77" s="219">
        <f t="shared" si="6"/>
        <v>0</v>
      </c>
      <c r="G77" s="832">
        <f t="shared" si="9"/>
        <v>341468.66249999998</v>
      </c>
      <c r="H77" s="832">
        <f t="shared" si="4"/>
        <v>1736</v>
      </c>
      <c r="I77" s="832">
        <f t="shared" si="5"/>
        <v>3.2783089717741931</v>
      </c>
      <c r="J77" s="437"/>
    </row>
    <row r="78" spans="1:10">
      <c r="A78" s="232">
        <v>40</v>
      </c>
      <c r="B78" s="438" t="s">
        <v>1158</v>
      </c>
      <c r="C78" s="219"/>
      <c r="D78" s="832">
        <f>VLOOKUP(B78,'Ref | Salary_Scales'!$W$91:$AD$500,8,FALSE)</f>
        <v>141317.66250000001</v>
      </c>
      <c r="E78" s="219">
        <v>2019</v>
      </c>
      <c r="F78" s="219">
        <f t="shared" si="6"/>
        <v>0</v>
      </c>
      <c r="G78" s="832">
        <f t="shared" si="9"/>
        <v>141317.66250000001</v>
      </c>
      <c r="H78" s="832">
        <f t="shared" si="4"/>
        <v>1736</v>
      </c>
      <c r="I78" s="832">
        <f t="shared" si="5"/>
        <v>1.3567363911290322</v>
      </c>
      <c r="J78" s="437"/>
    </row>
    <row r="79" spans="1:10">
      <c r="A79" s="232">
        <v>41</v>
      </c>
      <c r="B79" s="438" t="s">
        <v>1159</v>
      </c>
      <c r="C79" s="219"/>
      <c r="D79" s="832">
        <f>VLOOKUP(B79,'Ref | Salary_Scales'!$W$91:$AD$500,8,FALSE)</f>
        <v>141317.66250000001</v>
      </c>
      <c r="E79" s="219">
        <v>2019</v>
      </c>
      <c r="F79" s="219">
        <f t="shared" si="6"/>
        <v>0</v>
      </c>
      <c r="G79" s="832">
        <f t="shared" si="9"/>
        <v>141317.66250000001</v>
      </c>
      <c r="H79" s="832">
        <f t="shared" si="4"/>
        <v>1736</v>
      </c>
      <c r="I79" s="832">
        <f t="shared" si="5"/>
        <v>1.3567363911290322</v>
      </c>
      <c r="J79" s="437"/>
    </row>
    <row r="80" spans="1:10">
      <c r="A80" s="232">
        <v>42</v>
      </c>
      <c r="B80" s="438" t="s">
        <v>1160</v>
      </c>
      <c r="C80" s="219"/>
      <c r="D80" s="832">
        <f>VLOOKUP(B80,'Ref | Salary_Scales'!$W$91:$AD$500,8,FALSE)</f>
        <v>141317.66250000001</v>
      </c>
      <c r="E80" s="219">
        <v>2019</v>
      </c>
      <c r="F80" s="219">
        <f t="shared" si="6"/>
        <v>0</v>
      </c>
      <c r="G80" s="832">
        <f t="shared" si="9"/>
        <v>141317.66250000001</v>
      </c>
      <c r="H80" s="832">
        <f t="shared" si="4"/>
        <v>1736</v>
      </c>
      <c r="I80" s="832">
        <f t="shared" si="5"/>
        <v>1.3567363911290322</v>
      </c>
      <c r="J80" s="437"/>
    </row>
    <row r="81" spans="1:10">
      <c r="A81" s="232">
        <v>43</v>
      </c>
      <c r="B81" s="501" t="s">
        <v>1178</v>
      </c>
      <c r="C81" s="835"/>
      <c r="D81" s="836">
        <f>VLOOKUP(B81,'Ref | Salary_Scales'!$W$91:$AD$500,8,FALSE)</f>
        <v>341468.66249999998</v>
      </c>
      <c r="E81" s="835">
        <v>2019</v>
      </c>
      <c r="F81" s="835">
        <f t="shared" si="6"/>
        <v>0</v>
      </c>
      <c r="G81" s="836">
        <f t="shared" si="9"/>
        <v>341468.66249999998</v>
      </c>
      <c r="H81" s="836">
        <f t="shared" si="4"/>
        <v>1736</v>
      </c>
      <c r="I81" s="836">
        <f t="shared" si="5"/>
        <v>3.2783089717741931</v>
      </c>
      <c r="J81" s="837"/>
    </row>
    <row r="82" spans="1:10">
      <c r="E82" s="218"/>
    </row>
    <row r="83" spans="1:10">
      <c r="E83" s="218"/>
    </row>
    <row r="84" spans="1:10">
      <c r="E84" s="218"/>
    </row>
    <row r="85" spans="1:10">
      <c r="E85" s="218"/>
    </row>
    <row r="86" spans="1:10">
      <c r="E86" s="218"/>
    </row>
  </sheetData>
  <mergeCells count="2">
    <mergeCell ref="L7:M7"/>
    <mergeCell ref="F7:G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3"/>
  <sheetViews>
    <sheetView showGridLines="0" workbookViewId="0">
      <selection activeCell="D21" sqref="D21"/>
    </sheetView>
  </sheetViews>
  <sheetFormatPr baseColWidth="10" defaultColWidth="8.88671875" defaultRowHeight="14.4"/>
  <sheetData>
    <row r="3" spans="2:2">
      <c r="B3" s="232" t="s">
        <v>1541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AA64"/>
  <sheetViews>
    <sheetView showGridLines="0" topLeftCell="A58" zoomScale="90" zoomScaleNormal="90" workbookViewId="0">
      <selection activeCell="D71" sqref="D71"/>
    </sheetView>
  </sheetViews>
  <sheetFormatPr baseColWidth="10" defaultColWidth="9.21875" defaultRowHeight="14.4"/>
  <cols>
    <col min="1" max="1" width="4.21875" style="4" customWidth="1"/>
    <col min="2" max="2" width="22.44140625" style="4" customWidth="1"/>
    <col min="3" max="3" width="54.88671875" style="4" customWidth="1"/>
    <col min="4" max="4" width="47.109375" style="4" customWidth="1"/>
    <col min="5" max="5" width="4.21875" customWidth="1"/>
    <col min="6" max="6" width="9.21875" style="4"/>
    <col min="7" max="7" width="9.88671875" style="4" bestFit="1" customWidth="1"/>
    <col min="8" max="16384" width="9.21875" style="4"/>
  </cols>
  <sheetData>
    <row r="1" spans="1:27" s="315" customFormat="1" ht="24" customHeight="1">
      <c r="A1" s="314" t="s">
        <v>748</v>
      </c>
      <c r="J1" s="316"/>
      <c r="K1" s="317"/>
      <c r="L1" s="317"/>
    </row>
    <row r="2" spans="1:27" s="51" customFormat="1" ht="18">
      <c r="A2" s="50">
        <f>selected_country</f>
        <v>0</v>
      </c>
      <c r="J2" s="52"/>
      <c r="K2" s="53"/>
      <c r="L2" s="53"/>
    </row>
    <row r="3" spans="1:27" ht="15" thickBot="1"/>
    <row r="4" spans="1:27">
      <c r="B4" s="13" t="s">
        <v>722</v>
      </c>
      <c r="C4" s="14"/>
      <c r="D4" s="14"/>
      <c r="E4" s="15"/>
      <c r="G4" s="16"/>
    </row>
    <row r="5" spans="1:27">
      <c r="B5" s="17"/>
      <c r="C5" s="18" t="s">
        <v>723</v>
      </c>
      <c r="D5" s="19"/>
      <c r="E5" s="20"/>
      <c r="F5" s="21" t="str">
        <f>IF(OR(selected_country="Andorra",selected_country="Cook Islands",selected_country="Dominica",selected_country="Liechtenstein",selected_country="Marshall Islands",selected_country= "Monaco",selected_country="Nauru",selected_country="Niue",selected_country="Palau",selected_country="Saint Kitts and Nevis",selected_country="San Marino",selected_country="Tuvalu"),"Warning - demographic data not available for this country.","")</f>
        <v/>
      </c>
      <c r="Y5" s="245"/>
      <c r="Z5" s="576"/>
      <c r="AA5" s="245"/>
    </row>
    <row r="6" spans="1:27">
      <c r="B6" s="17"/>
      <c r="D6" s="23"/>
      <c r="E6" s="20"/>
      <c r="F6" s="22" t="str">
        <f>IF(OR(selected_country="Andorra",selected_country="Cook Islands",selected_country="Dominica",selected_country="Liechtenstein",selected_country="Marshall Islands",selected_country= "Monaco",selected_country="Nauru",selected_country="Niue",selected_country="Palau",selected_country="Saint Kitts and Nevis",selected_country="San Marino",selected_country="Tuvalu"),"Please manually input data into the Country_Database worksheet.","")</f>
        <v/>
      </c>
      <c r="Y6" s="245"/>
      <c r="Z6" s="577"/>
      <c r="AA6" s="245"/>
    </row>
    <row r="7" spans="1:27">
      <c r="B7" s="17"/>
      <c r="C7" s="18" t="s">
        <v>724</v>
      </c>
      <c r="D7" s="19"/>
      <c r="E7" s="20"/>
      <c r="Y7" s="245"/>
      <c r="Z7" s="577"/>
      <c r="AA7" s="245"/>
    </row>
    <row r="8" spans="1:27">
      <c r="B8" s="17"/>
      <c r="D8" s="23"/>
      <c r="E8" s="20"/>
      <c r="Y8" s="245"/>
      <c r="Z8" s="245"/>
      <c r="AA8" s="245"/>
    </row>
    <row r="9" spans="1:27">
      <c r="B9" s="17"/>
      <c r="C9" s="24" t="str">
        <f>"Total Population ("&amp;baseline_year&amp;")"</f>
        <v>Total Population ()</v>
      </c>
      <c r="D9" s="1040">
        <f>IF($D$5="",0,VLOOKUP($D$5,country_database,6,FALSE))*1000</f>
        <v>0</v>
      </c>
      <c r="E9" s="20"/>
      <c r="Y9" s="245"/>
      <c r="Z9" s="245"/>
      <c r="AA9" s="245"/>
    </row>
    <row r="10" spans="1:27">
      <c r="B10" s="17"/>
      <c r="C10" s="25" t="s">
        <v>725</v>
      </c>
      <c r="D10" s="1041"/>
      <c r="E10" s="20"/>
      <c r="F10" s="22"/>
      <c r="Y10" s="245"/>
      <c r="Z10" s="245"/>
      <c r="AA10" s="245"/>
    </row>
    <row r="11" spans="1:27">
      <c r="B11" s="17"/>
      <c r="C11" s="26"/>
      <c r="D11" s="27"/>
      <c r="E11" s="20"/>
      <c r="F11" s="22"/>
    </row>
    <row r="12" spans="1:27">
      <c r="B12" s="28" t="s">
        <v>24</v>
      </c>
      <c r="C12" s="6" t="s">
        <v>24</v>
      </c>
      <c r="D12" s="1042">
        <f>IF($D$5="",0,VLOOKUP($D$5,country_database,3,FALSE))</f>
        <v>0</v>
      </c>
      <c r="E12" s="20"/>
    </row>
    <row r="13" spans="1:27">
      <c r="B13" s="17"/>
      <c r="C13" s="8" t="str">
        <f>"Exchange rate per 1 USD ("&amp;baseline_year&amp;")"</f>
        <v>Exchange rate per 1 USD ()</v>
      </c>
      <c r="D13" s="1043"/>
      <c r="E13" s="20"/>
    </row>
    <row r="14" spans="1:27">
      <c r="B14" s="17"/>
      <c r="C14" s="29" t="s">
        <v>726</v>
      </c>
      <c r="D14" s="30"/>
      <c r="E14" s="20"/>
      <c r="F14" s="31"/>
    </row>
    <row r="15" spans="1:27">
      <c r="B15" s="17"/>
      <c r="C15" s="26"/>
      <c r="D15" s="16"/>
      <c r="E15" s="20"/>
    </row>
    <row r="16" spans="1:27">
      <c r="B16" s="17"/>
      <c r="C16" s="18" t="s">
        <v>727</v>
      </c>
      <c r="D16" s="32"/>
      <c r="E16" s="20"/>
    </row>
    <row r="17" spans="2:10" ht="15" thickBot="1">
      <c r="B17" s="33"/>
      <c r="C17" s="34"/>
      <c r="D17" s="35"/>
      <c r="E17" s="36"/>
    </row>
    <row r="18" spans="2:10" ht="15" thickBot="1">
      <c r="D18" s="16"/>
    </row>
    <row r="19" spans="2:10">
      <c r="B19" s="13" t="s">
        <v>729</v>
      </c>
      <c r="C19" s="14"/>
      <c r="D19" s="37"/>
      <c r="E19" s="15"/>
    </row>
    <row r="20" spans="2:10">
      <c r="B20" s="17"/>
      <c r="C20" s="18" t="s">
        <v>0</v>
      </c>
      <c r="D20" s="985"/>
      <c r="E20" s="20"/>
    </row>
    <row r="21" spans="2:10">
      <c r="B21" s="17"/>
      <c r="C21" s="245"/>
      <c r="D21" s="960"/>
      <c r="E21" s="20"/>
    </row>
    <row r="22" spans="2:10">
      <c r="B22" s="17"/>
      <c r="C22" s="18" t="s">
        <v>754</v>
      </c>
      <c r="D22" s="19"/>
      <c r="E22" s="20"/>
    </row>
    <row r="23" spans="2:10">
      <c r="B23" s="17"/>
      <c r="C23" s="245"/>
      <c r="D23" s="245"/>
      <c r="E23" s="20"/>
    </row>
    <row r="24" spans="2:10">
      <c r="B24" s="17"/>
      <c r="C24" s="18" t="str">
        <f>"Will the program be scaled up within "&amp;length_of_program&amp;" years?"</f>
        <v>Will the program be scaled up within  years?</v>
      </c>
      <c r="D24" s="19"/>
      <c r="E24" s="20"/>
    </row>
    <row r="25" spans="2:10">
      <c r="B25" s="17"/>
      <c r="C25" s="245"/>
      <c r="D25" s="245"/>
      <c r="E25" s="20"/>
    </row>
    <row r="26" spans="2:10" ht="14.7" customHeight="1">
      <c r="B26" s="17"/>
      <c r="C26" s="18" t="str">
        <f>"% population targeted by the program in "&amp;baseline_year</f>
        <v xml:space="preserve">% population targeted by the program in </v>
      </c>
      <c r="D26" s="567"/>
      <c r="E26" s="20"/>
      <c r="F26" s="40"/>
      <c r="G26" s="40"/>
      <c r="H26" s="40"/>
      <c r="I26" s="40"/>
      <c r="J26" s="40"/>
    </row>
    <row r="27" spans="2:10">
      <c r="B27" s="17"/>
      <c r="C27" s="245"/>
      <c r="D27" s="245"/>
      <c r="E27" s="20"/>
    </row>
    <row r="28" spans="2:10">
      <c r="B28" s="17"/>
      <c r="C28" s="18" t="s">
        <v>1398</v>
      </c>
      <c r="D28" s="41"/>
      <c r="E28" s="20"/>
      <c r="F28" s="40"/>
      <c r="G28" s="40"/>
      <c r="H28" s="40"/>
      <c r="I28" s="40"/>
      <c r="J28" s="40"/>
    </row>
    <row r="29" spans="2:10" ht="15" thickBot="1">
      <c r="B29" s="33"/>
      <c r="C29" s="34"/>
      <c r="D29" s="35"/>
      <c r="E29" s="36"/>
      <c r="F29" s="40"/>
      <c r="G29" s="40"/>
      <c r="H29" s="40"/>
      <c r="I29" s="40"/>
      <c r="J29" s="40"/>
    </row>
    <row r="30" spans="2:10" ht="15" thickBot="1">
      <c r="E30" s="4"/>
    </row>
    <row r="31" spans="2:10">
      <c r="B31" s="13" t="str">
        <f>"III. Health System implementing "&amp;program&amp;" Program at Baseline"</f>
        <v>III. Health System implementing  Program at Baseline</v>
      </c>
      <c r="C31" s="14"/>
      <c r="D31" s="37"/>
      <c r="E31" s="15"/>
    </row>
    <row r="32" spans="2:10">
      <c r="B32" s="17"/>
      <c r="D32" s="16"/>
      <c r="E32" s="20"/>
    </row>
    <row r="33" spans="1:10">
      <c r="B33" s="17"/>
      <c r="C33" s="42" t="s">
        <v>728</v>
      </c>
      <c r="D33" s="43" t="str">
        <f>"Number in "&amp;baseline_year</f>
        <v xml:space="preserve">Number in </v>
      </c>
      <c r="E33" s="20"/>
      <c r="G33" s="3"/>
      <c r="H33" s="3"/>
      <c r="J33" s="3"/>
    </row>
    <row r="34" spans="1:10">
      <c r="B34" s="17"/>
      <c r="C34" s="1044"/>
      <c r="D34" s="1044"/>
      <c r="E34" s="20"/>
    </row>
    <row r="35" spans="1:10">
      <c r="B35" s="17"/>
      <c r="C35" s="44"/>
      <c r="D35" s="44"/>
      <c r="E35" s="20"/>
    </row>
    <row r="36" spans="1:10">
      <c r="B36" s="17"/>
      <c r="C36" s="44"/>
      <c r="D36" s="44"/>
      <c r="E36" s="20"/>
    </row>
    <row r="37" spans="1:10">
      <c r="B37" s="17"/>
      <c r="C37" s="45"/>
      <c r="D37" s="45"/>
      <c r="E37" s="20"/>
    </row>
    <row r="38" spans="1:10">
      <c r="B38" s="46"/>
      <c r="C38" s="533"/>
      <c r="D38" s="533"/>
      <c r="E38" s="47"/>
    </row>
    <row r="39" spans="1:10" ht="15" thickBot="1">
      <c r="B39" s="33"/>
      <c r="C39" s="34"/>
      <c r="D39" s="34"/>
      <c r="E39" s="36"/>
    </row>
    <row r="40" spans="1:10">
      <c r="E40" s="4"/>
    </row>
    <row r="41" spans="1:10" ht="15" thickBot="1"/>
    <row r="42" spans="1:10">
      <c r="A42" s="48">
        <f>IF($D$28="Yes",1,0)</f>
        <v>0</v>
      </c>
      <c r="B42" s="13" t="s">
        <v>750</v>
      </c>
      <c r="C42" s="14"/>
      <c r="D42" s="14"/>
      <c r="E42" s="15"/>
    </row>
    <row r="43" spans="1:10">
      <c r="A43" s="48"/>
      <c r="B43" s="17"/>
      <c r="C43" s="245"/>
      <c r="E43" s="20"/>
    </row>
    <row r="44" spans="1:10">
      <c r="A44" s="48"/>
      <c r="B44" s="49">
        <v>1</v>
      </c>
      <c r="C44" s="1000"/>
      <c r="E44" s="20"/>
    </row>
    <row r="45" spans="1:10">
      <c r="A45" s="48"/>
      <c r="B45" s="49">
        <v>2</v>
      </c>
      <c r="C45" s="44"/>
      <c r="E45" s="20"/>
    </row>
    <row r="46" spans="1:10">
      <c r="A46" s="48"/>
      <c r="B46" s="49">
        <v>3</v>
      </c>
      <c r="C46" s="44"/>
      <c r="E46" s="20"/>
    </row>
    <row r="47" spans="1:10">
      <c r="A47" s="48"/>
      <c r="B47" s="49">
        <v>4</v>
      </c>
      <c r="C47" s="44"/>
      <c r="E47" s="20"/>
    </row>
    <row r="48" spans="1:10">
      <c r="A48" s="48"/>
      <c r="B48" s="49">
        <v>5</v>
      </c>
      <c r="C48" s="44"/>
      <c r="E48" s="20"/>
    </row>
    <row r="49" spans="1:5">
      <c r="A49" s="48"/>
      <c r="B49" s="49">
        <v>6</v>
      </c>
      <c r="C49" s="44"/>
      <c r="E49" s="20"/>
    </row>
    <row r="50" spans="1:5">
      <c r="A50" s="48"/>
      <c r="B50" s="49">
        <v>7</v>
      </c>
      <c r="C50" s="44"/>
      <c r="E50" s="20"/>
    </row>
    <row r="51" spans="1:5">
      <c r="A51" s="48"/>
      <c r="B51" s="49">
        <v>8</v>
      </c>
      <c r="C51" s="44"/>
      <c r="E51" s="20"/>
    </row>
    <row r="52" spans="1:5">
      <c r="A52" s="48"/>
      <c r="B52" s="49">
        <v>9</v>
      </c>
      <c r="C52" s="44"/>
      <c r="E52" s="20"/>
    </row>
    <row r="53" spans="1:5">
      <c r="A53" s="48"/>
      <c r="B53" s="49">
        <v>10</v>
      </c>
      <c r="C53" s="44"/>
      <c r="E53" s="20"/>
    </row>
    <row r="54" spans="1:5">
      <c r="A54" s="48"/>
      <c r="B54" s="49">
        <v>11</v>
      </c>
      <c r="C54" s="44"/>
      <c r="E54" s="20"/>
    </row>
    <row r="55" spans="1:5">
      <c r="A55" s="48"/>
      <c r="B55" s="49">
        <v>12</v>
      </c>
      <c r="C55" s="44"/>
      <c r="E55" s="20"/>
    </row>
    <row r="56" spans="1:5">
      <c r="A56" s="48"/>
      <c r="B56" s="49">
        <v>13</v>
      </c>
      <c r="C56" s="44"/>
      <c r="E56" s="20"/>
    </row>
    <row r="57" spans="1:5">
      <c r="A57" s="48"/>
      <c r="B57" s="49">
        <v>14</v>
      </c>
      <c r="C57" s="44"/>
      <c r="E57" s="20"/>
    </row>
    <row r="58" spans="1:5">
      <c r="A58" s="48"/>
      <c r="B58" s="49">
        <v>15</v>
      </c>
      <c r="C58" s="44"/>
      <c r="E58" s="20"/>
    </row>
    <row r="59" spans="1:5">
      <c r="A59" s="48"/>
      <c r="B59" s="49">
        <v>16</v>
      </c>
      <c r="C59" s="44"/>
      <c r="E59" s="20"/>
    </row>
    <row r="60" spans="1:5">
      <c r="A60" s="48"/>
      <c r="B60" s="49">
        <v>17</v>
      </c>
      <c r="C60" s="44"/>
      <c r="E60" s="20"/>
    </row>
    <row r="61" spans="1:5">
      <c r="A61" s="48"/>
      <c r="B61" s="49">
        <v>18</v>
      </c>
      <c r="C61" s="44"/>
      <c r="E61" s="20"/>
    </row>
    <row r="62" spans="1:5">
      <c r="A62" s="48"/>
      <c r="B62" s="49">
        <v>19</v>
      </c>
      <c r="C62" s="44"/>
      <c r="E62" s="20"/>
    </row>
    <row r="63" spans="1:5">
      <c r="A63" s="48"/>
      <c r="B63" s="49">
        <v>20</v>
      </c>
      <c r="C63" s="45"/>
      <c r="E63" s="20"/>
    </row>
    <row r="64" spans="1:5" ht="15" thickBot="1">
      <c r="A64" s="48"/>
      <c r="B64" s="33"/>
      <c r="C64" s="34"/>
      <c r="D64" s="34"/>
      <c r="E64" s="36"/>
    </row>
  </sheetData>
  <sheetProtection selectLockedCells="1"/>
  <conditionalFormatting sqref="D13 D10">
    <cfRule type="expression" dxfId="40" priority="63">
      <formula>#REF!="N"</formula>
    </cfRule>
  </conditionalFormatting>
  <conditionalFormatting sqref="B42:E64">
    <cfRule type="expression" dxfId="39" priority="1">
      <formula>$A$42=0</formula>
    </cfRule>
  </conditionalFormatting>
  <dataValidations count="8">
    <dataValidation type="list" allowBlank="1" showInputMessage="1" showErrorMessage="1" sqref="D14">
      <formula1>currencies</formula1>
    </dataValidation>
    <dataValidation type="whole" allowBlank="1" showInputMessage="1" showErrorMessage="1" error="Please enter a valid year." sqref="D7">
      <formula1>2000</formula1>
      <formula2>3000</formula2>
    </dataValidation>
    <dataValidation type="list" allowBlank="1" showInputMessage="1" showErrorMessage="1" sqref="D22">
      <formula1>"1,2,3,4,5"</formula1>
    </dataValidation>
    <dataValidation type="list" allowBlank="1" showInputMessage="1" showErrorMessage="1" sqref="D24">
      <formula1>"Y,N"</formula1>
    </dataValidation>
    <dataValidation type="whole" allowBlank="1" showInputMessage="1" showErrorMessage="1" sqref="D9">
      <formula1>0</formula1>
      <formula2>9.99999999999999E+21</formula2>
    </dataValidation>
    <dataValidation type="list" allowBlank="1" showInputMessage="1" showErrorMessage="1" error="Please select a country using the drop-down menu." sqref="D5">
      <formula1>country_list</formula1>
    </dataValidation>
    <dataValidation type="list" allowBlank="1" showInputMessage="1" showErrorMessage="1" sqref="D28">
      <formula1>"Yes,No"</formula1>
    </dataValidation>
    <dataValidation type="list" allowBlank="1" showInputMessage="1" showErrorMessage="1" sqref="D20">
      <formula1>program_list</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L18"/>
  <sheetViews>
    <sheetView showGridLines="0" zoomScale="90" zoomScaleNormal="90" workbookViewId="0">
      <selection activeCell="I13" sqref="I13"/>
    </sheetView>
  </sheetViews>
  <sheetFormatPr baseColWidth="10" defaultColWidth="8.77734375" defaultRowHeight="14.4"/>
  <cols>
    <col min="1" max="1" width="8.77734375" style="3"/>
    <col min="2" max="2" width="47.88671875" style="3" bestFit="1" customWidth="1"/>
    <col min="3" max="3" width="18.5546875" style="3" customWidth="1"/>
    <col min="4" max="4" width="12.6640625" style="3" customWidth="1"/>
    <col min="5" max="5" width="15.44140625" style="3" customWidth="1"/>
    <col min="6" max="6" width="13.33203125" style="3" customWidth="1"/>
    <col min="7" max="7" width="15.88671875" style="3" customWidth="1"/>
    <col min="8" max="8" width="14" style="3" customWidth="1"/>
    <col min="9" max="16384" width="8.77734375" style="3"/>
  </cols>
  <sheetData>
    <row r="1" spans="1:12" s="315" customFormat="1" ht="24" customHeight="1">
      <c r="A1" s="314" t="s">
        <v>749</v>
      </c>
      <c r="J1" s="316"/>
      <c r="K1" s="317"/>
      <c r="L1" s="317"/>
    </row>
    <row r="2" spans="1:12" s="51" customFormat="1" ht="18">
      <c r="A2" s="50">
        <f>selected_country</f>
        <v>0</v>
      </c>
      <c r="J2" s="52"/>
      <c r="K2" s="53"/>
      <c r="L2" s="53"/>
    </row>
    <row r="3" spans="1:12" ht="15" thickBot="1"/>
    <row r="4" spans="1:12" ht="15" thickBot="1">
      <c r="C4" s="617" t="str" cm="1">
        <f t="array" ref="C4">IF(baseline_year=0,"Baseline Year",baseline_year)</f>
        <v>Baseline Year</v>
      </c>
      <c r="D4" s="11" t="str">
        <f>IF(baseline_year=0,"Year 1",baseline_year+1)</f>
        <v>Year 1</v>
      </c>
      <c r="E4" s="11" t="str" cm="1">
        <f t="array" ref="E4">IF(baseline_year=0,"Year 2",IF(length_of_program&gt;1,baseline_year+2,""))</f>
        <v>Year 2</v>
      </c>
      <c r="F4" s="11" t="str">
        <f>IF(baseline_year=0,"Year 3",IF(length_of_program&gt;2,baseline_year+3,""))</f>
        <v>Year 3</v>
      </c>
      <c r="G4" s="11" t="str">
        <f>IF(baseline_year=0,"Year 4",IF(length_of_program&gt;3,baseline_year+4,""))</f>
        <v>Year 4</v>
      </c>
      <c r="H4" s="12" t="str">
        <f>IF(baseline_year=0,"Year 5",IF(length_of_program&gt;4,baseline_year+5,""))</f>
        <v>Year 5</v>
      </c>
    </row>
    <row r="5" spans="1:12">
      <c r="B5" s="90"/>
    </row>
    <row r="6" spans="1:12">
      <c r="B6" s="734" t="s">
        <v>17</v>
      </c>
      <c r="C6" s="628"/>
      <c r="D6" s="628"/>
      <c r="E6" s="628"/>
      <c r="F6" s="628"/>
      <c r="G6" s="628"/>
      <c r="H6" s="735"/>
    </row>
    <row r="7" spans="1:12">
      <c r="B7" s="736" t="str">
        <f>"Total Population of "&amp;selected_country</f>
        <v xml:space="preserve">Total Population of </v>
      </c>
      <c r="C7" s="737">
        <f>national_pop</f>
        <v>0</v>
      </c>
      <c r="D7" s="1045">
        <f>C7*(1+national_pop_growth)</f>
        <v>0</v>
      </c>
      <c r="E7" s="1045">
        <f t="shared" ref="E7:H7" si="0">D7*(1+national_pop_growth)</f>
        <v>0</v>
      </c>
      <c r="F7" s="1045">
        <f t="shared" si="0"/>
        <v>0</v>
      </c>
      <c r="G7" s="1045">
        <f t="shared" si="0"/>
        <v>0</v>
      </c>
      <c r="H7" s="1046">
        <f t="shared" si="0"/>
        <v>0</v>
      </c>
    </row>
    <row r="8" spans="1:12">
      <c r="B8" s="738" t="s">
        <v>1393</v>
      </c>
      <c r="C8" s="739">
        <f>target_pop</f>
        <v>0</v>
      </c>
      <c r="D8" s="1047"/>
      <c r="E8" s="1047"/>
      <c r="F8" s="1047"/>
      <c r="G8" s="1047"/>
      <c r="H8" s="1048"/>
    </row>
    <row r="9" spans="1:12">
      <c r="B9" s="740" t="s">
        <v>1388</v>
      </c>
      <c r="C9" s="741">
        <f>C8*C7</f>
        <v>0</v>
      </c>
      <c r="D9" s="742">
        <f t="shared" ref="D9:H9" si="1">D8*D7</f>
        <v>0</v>
      </c>
      <c r="E9" s="742">
        <f t="shared" si="1"/>
        <v>0</v>
      </c>
      <c r="F9" s="742">
        <f t="shared" si="1"/>
        <v>0</v>
      </c>
      <c r="G9" s="742">
        <f t="shared" si="1"/>
        <v>0</v>
      </c>
      <c r="H9" s="743">
        <f t="shared" si="1"/>
        <v>0</v>
      </c>
    </row>
    <row r="10" spans="1:12">
      <c r="B10" s="90"/>
    </row>
    <row r="11" spans="1:12">
      <c r="B11" s="6" t="str">
        <f>"Number of Health Facilities implementing "&amp;program&amp;" Program"</f>
        <v>Number of Health Facilities implementing  Program</v>
      </c>
      <c r="C11" s="744"/>
      <c r="D11" s="744"/>
      <c r="E11" s="744"/>
      <c r="F11" s="744"/>
      <c r="G11" s="744"/>
      <c r="H11" s="745"/>
    </row>
    <row r="12" spans="1:12">
      <c r="B12" s="746"/>
      <c r="C12" s="747"/>
      <c r="D12" s="747"/>
      <c r="E12" s="747"/>
      <c r="F12" s="747"/>
      <c r="G12" s="747"/>
      <c r="H12" s="748"/>
    </row>
    <row r="13" spans="1:12">
      <c r="B13" s="746" t="str">
        <f>IF(Parameters!D34=0,"",level1)</f>
        <v/>
      </c>
      <c r="C13" s="581">
        <f>Parameters!D34</f>
        <v>0</v>
      </c>
      <c r="D13" s="749"/>
      <c r="E13" s="749"/>
      <c r="F13" s="749"/>
      <c r="G13" s="749"/>
      <c r="H13" s="750"/>
    </row>
    <row r="14" spans="1:12">
      <c r="B14" s="746" t="str">
        <f>IF(Parameters!D35=0,"",level2)</f>
        <v/>
      </c>
      <c r="C14" s="582">
        <f>Parameters!D35</f>
        <v>0</v>
      </c>
      <c r="D14" s="751"/>
      <c r="E14" s="751"/>
      <c r="F14" s="751"/>
      <c r="G14" s="751"/>
      <c r="H14" s="752"/>
    </row>
    <row r="15" spans="1:12">
      <c r="B15" s="746" t="str">
        <f>IF(Parameters!D36=0,"",level3)</f>
        <v/>
      </c>
      <c r="C15" s="582">
        <f>Parameters!D36</f>
        <v>0</v>
      </c>
      <c r="D15" s="751"/>
      <c r="E15" s="751"/>
      <c r="F15" s="751"/>
      <c r="G15" s="751"/>
      <c r="H15" s="752"/>
    </row>
    <row r="16" spans="1:12">
      <c r="B16" s="746" t="str">
        <f>IF(Parameters!D37=0,"",level4)</f>
        <v/>
      </c>
      <c r="C16" s="582">
        <f>Parameters!D37</f>
        <v>0</v>
      </c>
      <c r="D16" s="751"/>
      <c r="E16" s="751"/>
      <c r="F16" s="751"/>
      <c r="G16" s="751"/>
      <c r="H16" s="752"/>
    </row>
    <row r="17" spans="2:8">
      <c r="B17" s="753"/>
      <c r="C17" s="583"/>
      <c r="D17" s="754"/>
      <c r="E17" s="754"/>
      <c r="F17" s="754"/>
      <c r="G17" s="754"/>
      <c r="H17" s="755"/>
    </row>
    <row r="18" spans="2:8">
      <c r="B18" s="90"/>
    </row>
  </sheetData>
  <conditionalFormatting sqref="C13:H17">
    <cfRule type="expression" dxfId="38" priority="1">
      <formula>scaleup="N"</formula>
    </cfRule>
  </conditionalFormatting>
  <pageMargins left="0.7" right="0.7" top="0.75" bottom="0.75" header="0.3" footer="0.3"/>
  <pageSetup paperSize="9" orientation="portrait" r:id="rId1"/>
  <ignoredErrors>
    <ignoredError sqref="C13:C17"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3"/>
  <sheetViews>
    <sheetView showGridLines="0" workbookViewId="0">
      <selection activeCell="J8" sqref="J8"/>
    </sheetView>
  </sheetViews>
  <sheetFormatPr baseColWidth="10" defaultColWidth="8.88671875" defaultRowHeight="14.4"/>
  <sheetData>
    <row r="3" spans="2:2">
      <c r="B3" s="232" t="s">
        <v>1541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499984740745262"/>
  </sheetPr>
  <dimension ref="A1:U59"/>
  <sheetViews>
    <sheetView showGridLines="0" topLeftCell="B2" zoomScale="90" zoomScaleNormal="90" workbookViewId="0">
      <selection activeCell="G8" sqref="G8:G10"/>
    </sheetView>
  </sheetViews>
  <sheetFormatPr baseColWidth="10" defaultColWidth="8.77734375" defaultRowHeight="14.4"/>
  <cols>
    <col min="1" max="1" width="6.21875" style="3" customWidth="1"/>
    <col min="2" max="2" width="40.6640625" style="3" customWidth="1"/>
    <col min="3" max="3" width="15.44140625" style="90" customWidth="1"/>
    <col min="4" max="4" width="21.21875" style="90" customWidth="1"/>
    <col min="5" max="5" width="18.6640625" style="90" customWidth="1"/>
    <col min="6" max="6" width="20.5546875" style="786" customWidth="1"/>
    <col min="7" max="8" width="18.77734375" style="90" customWidth="1"/>
    <col min="9" max="9" width="1.5546875" style="3" customWidth="1"/>
    <col min="10" max="11" width="19.21875" style="3" customWidth="1"/>
    <col min="12" max="12" width="4.77734375" style="3" customWidth="1"/>
    <col min="13" max="13" width="20.6640625" style="3" customWidth="1"/>
    <col min="14" max="19" width="4.77734375" style="3" customWidth="1"/>
    <col min="20" max="20" width="17.5546875" style="368" customWidth="1"/>
    <col min="21" max="21" width="18.5546875" style="368" customWidth="1"/>
    <col min="22" max="16384" width="8.77734375" style="3"/>
  </cols>
  <sheetData>
    <row r="1" spans="1:21" s="419" customFormat="1" ht="24" customHeight="1">
      <c r="A1" s="314" t="s">
        <v>1161</v>
      </c>
      <c r="I1" s="487"/>
      <c r="J1" s="487"/>
      <c r="K1" s="487"/>
      <c r="L1" s="488"/>
      <c r="M1" s="488"/>
      <c r="N1" s="488"/>
      <c r="O1" s="488"/>
      <c r="P1" s="488"/>
      <c r="Q1" s="488"/>
      <c r="R1" s="488"/>
      <c r="S1" s="488"/>
      <c r="T1" s="823"/>
      <c r="U1" s="823"/>
    </row>
    <row r="2" spans="1:21" s="453" customFormat="1" ht="18">
      <c r="A2" s="50">
        <f>selected_country</f>
        <v>0</v>
      </c>
      <c r="I2" s="489"/>
      <c r="J2" s="489"/>
      <c r="K2" s="489"/>
      <c r="L2" s="490"/>
      <c r="M2" s="490"/>
      <c r="N2" s="490"/>
      <c r="O2" s="490"/>
      <c r="P2" s="490"/>
      <c r="Q2" s="490"/>
      <c r="R2" s="490"/>
      <c r="S2" s="490"/>
      <c r="T2" s="824"/>
      <c r="U2" s="824"/>
    </row>
    <row r="3" spans="1:21">
      <c r="F3" s="3"/>
    </row>
    <row r="4" spans="1:21">
      <c r="T4" s="22" t="s">
        <v>1131</v>
      </c>
    </row>
    <row r="5" spans="1:21">
      <c r="F5" s="3"/>
    </row>
    <row r="6" spans="1:21" ht="46.05" customHeight="1">
      <c r="B6" s="787" t="s">
        <v>7</v>
      </c>
      <c r="C6" s="788" t="s">
        <v>0</v>
      </c>
      <c r="D6" s="543" t="s">
        <v>8</v>
      </c>
      <c r="E6" s="788" t="s">
        <v>9</v>
      </c>
      <c r="F6" s="544" t="s">
        <v>1448</v>
      </c>
      <c r="G6" s="789" t="s">
        <v>1351</v>
      </c>
      <c r="H6" s="790" t="s">
        <v>1352</v>
      </c>
      <c r="J6" s="969" t="s">
        <v>1146</v>
      </c>
      <c r="K6" s="825" t="s">
        <v>1446</v>
      </c>
      <c r="T6" s="791" t="s">
        <v>1146</v>
      </c>
      <c r="U6" s="792" t="s">
        <v>1217</v>
      </c>
    </row>
    <row r="7" spans="1:21">
      <c r="A7" s="1"/>
      <c r="B7" s="4"/>
      <c r="C7" s="793"/>
      <c r="D7" s="793"/>
      <c r="E7" s="793"/>
      <c r="F7" s="64"/>
      <c r="G7" s="794"/>
      <c r="H7" s="794"/>
    </row>
    <row r="8" spans="1:21" ht="14.7" customHeight="1">
      <c r="A8" s="1">
        <v>1</v>
      </c>
      <c r="B8" s="795"/>
      <c r="C8" s="796"/>
      <c r="D8" s="797"/>
      <c r="E8" s="797"/>
      <c r="F8" s="798"/>
      <c r="G8" s="799"/>
      <c r="H8" s="800"/>
      <c r="I8" s="3">
        <f t="shared" ref="I8:I37" si="0">IF(E8="",0,IF(OR(E8="Curative",E8="Preventive"),G8,IF(H8="Weekly",52,IF(H8="Twice a month",24,IF(H8="Monthly",12,IF(H8="Quarterly",4,IF(H8="Twice a year",2,IF(H8="Yearly",1))))))))</f>
        <v>0</v>
      </c>
      <c r="J8" s="826"/>
      <c r="K8" s="826"/>
      <c r="T8" s="801"/>
      <c r="U8" s="802"/>
    </row>
    <row r="9" spans="1:21">
      <c r="A9" s="1">
        <v>2</v>
      </c>
      <c r="B9" s="555"/>
      <c r="C9" s="803"/>
      <c r="D9" s="804"/>
      <c r="E9" s="804"/>
      <c r="F9" s="805"/>
      <c r="G9" s="806"/>
      <c r="H9" s="807"/>
      <c r="I9" s="3">
        <f t="shared" si="0"/>
        <v>0</v>
      </c>
      <c r="J9" s="827"/>
      <c r="K9" s="827"/>
      <c r="T9" s="808"/>
      <c r="U9" s="809"/>
    </row>
    <row r="10" spans="1:21">
      <c r="A10" s="1">
        <v>3</v>
      </c>
      <c r="B10" s="555"/>
      <c r="C10" s="803"/>
      <c r="D10" s="804"/>
      <c r="E10" s="804"/>
      <c r="F10" s="805"/>
      <c r="G10" s="806"/>
      <c r="H10" s="807"/>
      <c r="I10" s="3">
        <f t="shared" si="0"/>
        <v>0</v>
      </c>
      <c r="J10" s="827"/>
      <c r="K10" s="827"/>
      <c r="T10" s="808"/>
      <c r="U10" s="809"/>
    </row>
    <row r="11" spans="1:21">
      <c r="A11" s="1">
        <v>4</v>
      </c>
      <c r="B11" s="555"/>
      <c r="C11" s="803"/>
      <c r="D11" s="804"/>
      <c r="E11" s="804"/>
      <c r="F11" s="805"/>
      <c r="G11" s="806"/>
      <c r="H11" s="807"/>
      <c r="I11" s="3">
        <f t="shared" si="0"/>
        <v>0</v>
      </c>
      <c r="J11" s="827"/>
      <c r="K11" s="827"/>
      <c r="T11" s="808"/>
      <c r="U11" s="809"/>
    </row>
    <row r="12" spans="1:21">
      <c r="A12" s="1">
        <v>5</v>
      </c>
      <c r="B12" s="555"/>
      <c r="C12" s="803"/>
      <c r="D12" s="804"/>
      <c r="E12" s="804"/>
      <c r="F12" s="805"/>
      <c r="G12" s="806"/>
      <c r="H12" s="807"/>
      <c r="I12" s="3">
        <f t="shared" si="0"/>
        <v>0</v>
      </c>
      <c r="J12" s="827"/>
      <c r="K12" s="827"/>
      <c r="T12" s="808"/>
      <c r="U12" s="809"/>
    </row>
    <row r="13" spans="1:21">
      <c r="A13" s="1">
        <v>6</v>
      </c>
      <c r="B13" s="555"/>
      <c r="C13" s="803"/>
      <c r="D13" s="804"/>
      <c r="E13" s="804"/>
      <c r="F13" s="805"/>
      <c r="G13" s="806"/>
      <c r="H13" s="807"/>
      <c r="I13" s="3">
        <f t="shared" si="0"/>
        <v>0</v>
      </c>
      <c r="J13" s="827"/>
      <c r="K13" s="827"/>
      <c r="T13" s="808"/>
      <c r="U13" s="809"/>
    </row>
    <row r="14" spans="1:21">
      <c r="A14" s="1">
        <v>7</v>
      </c>
      <c r="B14" s="555"/>
      <c r="C14" s="803"/>
      <c r="D14" s="804"/>
      <c r="E14" s="804"/>
      <c r="F14" s="805"/>
      <c r="G14" s="810"/>
      <c r="H14" s="811"/>
      <c r="I14" s="3">
        <f t="shared" si="0"/>
        <v>0</v>
      </c>
      <c r="J14" s="827"/>
      <c r="K14" s="827"/>
      <c r="T14" s="808"/>
      <c r="U14" s="809"/>
    </row>
    <row r="15" spans="1:21">
      <c r="A15" s="1">
        <v>8</v>
      </c>
      <c r="B15" s="555"/>
      <c r="C15" s="803"/>
      <c r="D15" s="804"/>
      <c r="E15" s="804"/>
      <c r="F15" s="805"/>
      <c r="G15" s="806"/>
      <c r="H15" s="807"/>
      <c r="I15" s="3">
        <f t="shared" si="0"/>
        <v>0</v>
      </c>
      <c r="J15" s="827"/>
      <c r="K15" s="827"/>
      <c r="T15" s="808"/>
      <c r="U15" s="809"/>
    </row>
    <row r="16" spans="1:21">
      <c r="A16" s="1">
        <v>9</v>
      </c>
      <c r="B16" s="555"/>
      <c r="C16" s="803"/>
      <c r="D16" s="804"/>
      <c r="E16" s="804"/>
      <c r="F16" s="805"/>
      <c r="G16" s="806"/>
      <c r="H16" s="807"/>
      <c r="I16" s="3">
        <f t="shared" si="0"/>
        <v>0</v>
      </c>
      <c r="J16" s="827"/>
      <c r="K16" s="827"/>
      <c r="T16" s="808"/>
      <c r="U16" s="809"/>
    </row>
    <row r="17" spans="1:21">
      <c r="A17" s="1">
        <v>10</v>
      </c>
      <c r="B17" s="555"/>
      <c r="C17" s="803"/>
      <c r="D17" s="804"/>
      <c r="E17" s="804"/>
      <c r="F17" s="805"/>
      <c r="G17" s="441"/>
      <c r="H17" s="812"/>
      <c r="I17" s="3">
        <f t="shared" si="0"/>
        <v>0</v>
      </c>
      <c r="J17" s="827"/>
      <c r="K17" s="827"/>
      <c r="T17" s="808"/>
      <c r="U17" s="809"/>
    </row>
    <row r="18" spans="1:21">
      <c r="A18" s="1">
        <v>11</v>
      </c>
      <c r="B18" s="555"/>
      <c r="C18" s="803"/>
      <c r="D18" s="804"/>
      <c r="E18" s="804"/>
      <c r="F18" s="805"/>
      <c r="G18" s="806"/>
      <c r="H18" s="807"/>
      <c r="I18" s="3">
        <f t="shared" si="0"/>
        <v>0</v>
      </c>
      <c r="J18" s="827"/>
      <c r="K18" s="827"/>
      <c r="T18" s="808"/>
      <c r="U18" s="809"/>
    </row>
    <row r="19" spans="1:21" ht="14.7" customHeight="1">
      <c r="A19" s="1">
        <v>12</v>
      </c>
      <c r="B19" s="555"/>
      <c r="C19" s="803"/>
      <c r="D19" s="804"/>
      <c r="E19" s="804"/>
      <c r="F19" s="805"/>
      <c r="G19" s="441"/>
      <c r="H19" s="812"/>
      <c r="I19" s="3">
        <f t="shared" si="0"/>
        <v>0</v>
      </c>
      <c r="J19" s="827"/>
      <c r="K19" s="827"/>
      <c r="T19" s="808"/>
      <c r="U19" s="809"/>
    </row>
    <row r="20" spans="1:21">
      <c r="A20" s="1">
        <v>13</v>
      </c>
      <c r="B20" s="555"/>
      <c r="C20" s="803"/>
      <c r="D20" s="804"/>
      <c r="E20" s="804"/>
      <c r="F20" s="805"/>
      <c r="G20" s="441"/>
      <c r="H20" s="812"/>
      <c r="I20" s="3">
        <f t="shared" si="0"/>
        <v>0</v>
      </c>
      <c r="J20" s="827"/>
      <c r="K20" s="827"/>
      <c r="T20" s="808"/>
      <c r="U20" s="809"/>
    </row>
    <row r="21" spans="1:21">
      <c r="A21" s="1">
        <v>14</v>
      </c>
      <c r="B21" s="555"/>
      <c r="C21" s="803"/>
      <c r="D21" s="804"/>
      <c r="E21" s="804"/>
      <c r="F21" s="805"/>
      <c r="G21" s="441"/>
      <c r="H21" s="812"/>
      <c r="I21" s="3">
        <f t="shared" si="0"/>
        <v>0</v>
      </c>
      <c r="J21" s="827"/>
      <c r="K21" s="827"/>
      <c r="T21" s="808"/>
      <c r="U21" s="809"/>
    </row>
    <row r="22" spans="1:21">
      <c r="A22" s="1">
        <v>15</v>
      </c>
      <c r="B22" s="555"/>
      <c r="C22" s="803"/>
      <c r="D22" s="804"/>
      <c r="E22" s="804"/>
      <c r="F22" s="805"/>
      <c r="G22" s="806"/>
      <c r="H22" s="807"/>
      <c r="I22" s="3">
        <f t="shared" si="0"/>
        <v>0</v>
      </c>
      <c r="J22" s="827"/>
      <c r="K22" s="827"/>
      <c r="T22" s="808"/>
      <c r="U22" s="809"/>
    </row>
    <row r="23" spans="1:21">
      <c r="A23" s="1">
        <v>16</v>
      </c>
      <c r="B23" s="555"/>
      <c r="C23" s="803"/>
      <c r="D23" s="804"/>
      <c r="E23" s="804"/>
      <c r="F23" s="805"/>
      <c r="G23" s="441"/>
      <c r="H23" s="812"/>
      <c r="I23" s="3">
        <f t="shared" si="0"/>
        <v>0</v>
      </c>
      <c r="J23" s="827"/>
      <c r="K23" s="827"/>
      <c r="T23" s="808"/>
      <c r="U23" s="809"/>
    </row>
    <row r="24" spans="1:21">
      <c r="A24" s="1">
        <v>17</v>
      </c>
      <c r="B24" s="555"/>
      <c r="C24" s="803"/>
      <c r="D24" s="804"/>
      <c r="E24" s="804"/>
      <c r="F24" s="805"/>
      <c r="G24" s="441"/>
      <c r="H24" s="812"/>
      <c r="I24" s="3">
        <f t="shared" si="0"/>
        <v>0</v>
      </c>
      <c r="J24" s="827"/>
      <c r="K24" s="827"/>
      <c r="T24" s="808"/>
      <c r="U24" s="809"/>
    </row>
    <row r="25" spans="1:21">
      <c r="A25" s="1">
        <v>18</v>
      </c>
      <c r="B25" s="555"/>
      <c r="C25" s="803"/>
      <c r="D25" s="804"/>
      <c r="E25" s="804"/>
      <c r="F25" s="805"/>
      <c r="G25" s="806"/>
      <c r="H25" s="807"/>
      <c r="I25" s="3">
        <f t="shared" si="0"/>
        <v>0</v>
      </c>
      <c r="J25" s="827"/>
      <c r="K25" s="827"/>
      <c r="T25" s="808"/>
      <c r="U25" s="809"/>
    </row>
    <row r="26" spans="1:21">
      <c r="A26" s="1">
        <v>19</v>
      </c>
      <c r="B26" s="555"/>
      <c r="C26" s="803"/>
      <c r="D26" s="804"/>
      <c r="E26" s="804"/>
      <c r="F26" s="805"/>
      <c r="G26" s="806"/>
      <c r="H26" s="807"/>
      <c r="I26" s="3">
        <f t="shared" si="0"/>
        <v>0</v>
      </c>
      <c r="J26" s="827"/>
      <c r="K26" s="827"/>
      <c r="T26" s="808"/>
      <c r="U26" s="809"/>
    </row>
    <row r="27" spans="1:21">
      <c r="A27" s="1">
        <v>20</v>
      </c>
      <c r="B27" s="555"/>
      <c r="C27" s="803"/>
      <c r="D27" s="804"/>
      <c r="E27" s="804"/>
      <c r="F27" s="805"/>
      <c r="G27" s="806"/>
      <c r="H27" s="807"/>
      <c r="I27" s="3">
        <f t="shared" si="0"/>
        <v>0</v>
      </c>
      <c r="J27" s="827"/>
      <c r="K27" s="827"/>
      <c r="T27" s="808"/>
      <c r="U27" s="809"/>
    </row>
    <row r="28" spans="1:21">
      <c r="A28" s="1">
        <v>21</v>
      </c>
      <c r="B28" s="555"/>
      <c r="C28" s="803"/>
      <c r="D28" s="804"/>
      <c r="E28" s="804"/>
      <c r="F28" s="805"/>
      <c r="G28" s="441"/>
      <c r="H28" s="812"/>
      <c r="I28" s="3">
        <f t="shared" si="0"/>
        <v>0</v>
      </c>
      <c r="J28" s="827"/>
      <c r="K28" s="827"/>
      <c r="T28" s="808"/>
      <c r="U28" s="809"/>
    </row>
    <row r="29" spans="1:21">
      <c r="A29" s="1">
        <v>22</v>
      </c>
      <c r="B29" s="555"/>
      <c r="C29" s="803"/>
      <c r="D29" s="804"/>
      <c r="E29" s="804"/>
      <c r="F29" s="805"/>
      <c r="G29" s="806"/>
      <c r="H29" s="807"/>
      <c r="I29" s="3">
        <f t="shared" si="0"/>
        <v>0</v>
      </c>
      <c r="J29" s="827"/>
      <c r="K29" s="827"/>
      <c r="T29" s="808"/>
      <c r="U29" s="809"/>
    </row>
    <row r="30" spans="1:21">
      <c r="A30" s="1">
        <v>23</v>
      </c>
      <c r="B30" s="555"/>
      <c r="C30" s="803"/>
      <c r="D30" s="804"/>
      <c r="E30" s="804"/>
      <c r="F30" s="805"/>
      <c r="G30" s="806"/>
      <c r="H30" s="807"/>
      <c r="I30" s="3">
        <f t="shared" si="0"/>
        <v>0</v>
      </c>
      <c r="J30" s="827"/>
      <c r="K30" s="827"/>
      <c r="T30" s="808"/>
      <c r="U30" s="809"/>
    </row>
    <row r="31" spans="1:21">
      <c r="A31" s="1">
        <v>24</v>
      </c>
      <c r="B31" s="555"/>
      <c r="C31" s="803"/>
      <c r="D31" s="804"/>
      <c r="E31" s="804"/>
      <c r="F31" s="805"/>
      <c r="G31" s="806"/>
      <c r="H31" s="807"/>
      <c r="I31" s="3">
        <f t="shared" si="0"/>
        <v>0</v>
      </c>
      <c r="J31" s="827"/>
      <c r="K31" s="827"/>
      <c r="T31" s="808"/>
      <c r="U31" s="809"/>
    </row>
    <row r="32" spans="1:21">
      <c r="A32" s="1">
        <v>25</v>
      </c>
      <c r="B32" s="555"/>
      <c r="C32" s="803"/>
      <c r="D32" s="804"/>
      <c r="E32" s="804"/>
      <c r="F32" s="805"/>
      <c r="G32" s="806"/>
      <c r="H32" s="807"/>
      <c r="I32" s="3">
        <f t="shared" si="0"/>
        <v>0</v>
      </c>
      <c r="J32" s="827"/>
      <c r="K32" s="827"/>
      <c r="T32" s="808"/>
      <c r="U32" s="809"/>
    </row>
    <row r="33" spans="1:21">
      <c r="A33" s="1">
        <v>26</v>
      </c>
      <c r="B33" s="555"/>
      <c r="C33" s="803"/>
      <c r="D33" s="804"/>
      <c r="E33" s="804"/>
      <c r="F33" s="805"/>
      <c r="G33" s="806"/>
      <c r="H33" s="807"/>
      <c r="I33" s="3">
        <f t="shared" si="0"/>
        <v>0</v>
      </c>
      <c r="J33" s="827"/>
      <c r="K33" s="827"/>
      <c r="T33" s="808"/>
      <c r="U33" s="809"/>
    </row>
    <row r="34" spans="1:21">
      <c r="A34" s="1">
        <v>27</v>
      </c>
      <c r="B34" s="555"/>
      <c r="C34" s="803"/>
      <c r="D34" s="804"/>
      <c r="E34" s="804"/>
      <c r="F34" s="805"/>
      <c r="G34" s="806"/>
      <c r="H34" s="807"/>
      <c r="I34" s="3">
        <f t="shared" si="0"/>
        <v>0</v>
      </c>
      <c r="J34" s="827"/>
      <c r="K34" s="827"/>
      <c r="T34" s="808"/>
      <c r="U34" s="809"/>
    </row>
    <row r="35" spans="1:21">
      <c r="A35" s="1">
        <v>28</v>
      </c>
      <c r="B35" s="555"/>
      <c r="C35" s="803"/>
      <c r="D35" s="804"/>
      <c r="E35" s="804"/>
      <c r="F35" s="805"/>
      <c r="G35" s="806"/>
      <c r="H35" s="807"/>
      <c r="I35" s="3">
        <f t="shared" si="0"/>
        <v>0</v>
      </c>
      <c r="J35" s="827"/>
      <c r="K35" s="827"/>
      <c r="T35" s="813"/>
      <c r="U35" s="814"/>
    </row>
    <row r="36" spans="1:21">
      <c r="A36" s="1">
        <v>29</v>
      </c>
      <c r="B36" s="555"/>
      <c r="C36" s="803"/>
      <c r="D36" s="804"/>
      <c r="E36" s="804"/>
      <c r="F36" s="805"/>
      <c r="G36" s="806"/>
      <c r="H36" s="807"/>
      <c r="I36" s="3">
        <f t="shared" si="0"/>
        <v>0</v>
      </c>
      <c r="J36" s="827"/>
      <c r="K36" s="827"/>
      <c r="T36" s="813"/>
      <c r="U36" s="814"/>
    </row>
    <row r="37" spans="1:21">
      <c r="A37" s="1">
        <v>30</v>
      </c>
      <c r="B37" s="559"/>
      <c r="C37" s="815"/>
      <c r="D37" s="816"/>
      <c r="E37" s="816"/>
      <c r="F37" s="817"/>
      <c r="G37" s="818"/>
      <c r="H37" s="819"/>
      <c r="I37" s="3">
        <f t="shared" si="0"/>
        <v>0</v>
      </c>
      <c r="J37" s="828"/>
      <c r="K37" s="828"/>
      <c r="T37" s="820"/>
      <c r="U37" s="821"/>
    </row>
    <row r="40" spans="1:21">
      <c r="A40" s="16"/>
      <c r="B40" s="90"/>
    </row>
    <row r="41" spans="1:21">
      <c r="A41" s="246"/>
    </row>
    <row r="42" spans="1:21">
      <c r="A42" s="246"/>
    </row>
    <row r="43" spans="1:21">
      <c r="A43" s="246"/>
      <c r="B43" s="90"/>
    </row>
    <row r="44" spans="1:21">
      <c r="A44" s="246"/>
      <c r="B44" s="90"/>
    </row>
    <row r="45" spans="1:21">
      <c r="A45" s="246"/>
      <c r="B45" s="90"/>
    </row>
    <row r="46" spans="1:21">
      <c r="A46" s="822"/>
      <c r="B46" s="90"/>
    </row>
    <row r="47" spans="1:21">
      <c r="A47" s="246"/>
    </row>
    <row r="48" spans="1:21">
      <c r="A48" s="246"/>
    </row>
    <row r="49" spans="1:2">
      <c r="A49" s="246"/>
      <c r="B49" s="90"/>
    </row>
    <row r="50" spans="1:2">
      <c r="A50" s="246"/>
      <c r="B50" s="90"/>
    </row>
    <row r="51" spans="1:2">
      <c r="A51" s="246"/>
      <c r="B51" s="90"/>
    </row>
    <row r="52" spans="1:2">
      <c r="A52" s="246"/>
      <c r="B52" s="90"/>
    </row>
    <row r="53" spans="1:2">
      <c r="A53" s="246"/>
      <c r="B53" s="90"/>
    </row>
    <row r="54" spans="1:2">
      <c r="A54" s="4"/>
      <c r="B54" s="90"/>
    </row>
    <row r="55" spans="1:2">
      <c r="B55" s="90"/>
    </row>
    <row r="56" spans="1:2">
      <c r="B56" s="90"/>
    </row>
    <row r="57" spans="1:2">
      <c r="B57" s="90"/>
    </row>
    <row r="58" spans="1:2">
      <c r="B58" s="90"/>
    </row>
    <row r="59" spans="1:2">
      <c r="B59" s="90"/>
    </row>
  </sheetData>
  <sheetProtection selectLockedCells="1"/>
  <conditionalFormatting sqref="G8:G37">
    <cfRule type="expression" dxfId="37" priority="3">
      <formula>$E8="Administrative"</formula>
    </cfRule>
    <cfRule type="expression" dxfId="36" priority="4">
      <formula>$E8="Promotional"</formula>
    </cfRule>
    <cfRule type="expression" dxfId="35" priority="5">
      <formula>$E8="Campaigns"</formula>
    </cfRule>
  </conditionalFormatting>
  <conditionalFormatting sqref="H8:H37">
    <cfRule type="expression" dxfId="34" priority="1">
      <formula>$E8="Curative"</formula>
    </cfRule>
    <cfRule type="expression" dxfId="33" priority="2">
      <formula>$E8="Preventive"</formula>
    </cfRule>
  </conditionalFormatting>
  <dataValidations count="5">
    <dataValidation type="list" allowBlank="1" showInputMessage="1" showErrorMessage="1" sqref="D8:D37">
      <formula1>target_pops</formula1>
    </dataValidation>
    <dataValidation type="list" allowBlank="1" showInputMessage="1" showErrorMessage="1" sqref="C8:C37">
      <formula1>program_list</formula1>
    </dataValidation>
    <dataValidation type="list" allowBlank="1" showInputMessage="1" showErrorMessage="1" sqref="E8:E37">
      <formula1>service_type</formula1>
    </dataValidation>
    <dataValidation type="list" allowBlank="1" showInputMessage="1" showErrorMessage="1" sqref="F8:F37">
      <formula1>rt_cat</formula1>
    </dataValidation>
    <dataValidation type="list" allowBlank="1" showInputMessage="1" showErrorMessage="1" sqref="H8:H37">
      <formula1>frequency_service_provision</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499984740745262"/>
  </sheetPr>
  <dimension ref="A1:L48"/>
  <sheetViews>
    <sheetView showGridLines="0" zoomScale="80" zoomScaleNormal="80" workbookViewId="0">
      <selection activeCell="N8" sqref="N8"/>
    </sheetView>
  </sheetViews>
  <sheetFormatPr baseColWidth="10" defaultColWidth="8.77734375" defaultRowHeight="14.4"/>
  <cols>
    <col min="1" max="1" width="5.77734375" style="3" customWidth="1"/>
    <col min="2" max="2" width="34.5546875" style="263" bestFit="1" customWidth="1"/>
    <col min="3" max="3" width="18" style="3" customWidth="1"/>
    <col min="4" max="4" width="14.44140625" style="3" customWidth="1"/>
    <col min="5" max="5" width="13.21875" style="3" customWidth="1"/>
    <col min="6" max="6" width="7.77734375" style="3" customWidth="1"/>
    <col min="7" max="7" width="18.88671875" style="3" customWidth="1"/>
    <col min="8" max="8" width="10.21875" style="3" customWidth="1"/>
    <col min="9" max="9" width="11.5546875" style="3" customWidth="1"/>
    <col min="10" max="10" width="9.44140625" style="3" customWidth="1"/>
    <col min="11" max="11" width="10.33203125" style="3" customWidth="1"/>
    <col min="12" max="12" width="9.5546875" style="3" customWidth="1"/>
    <col min="13" max="23" width="8.77734375" style="3" customWidth="1"/>
    <col min="24" max="16384" width="8.77734375" style="3"/>
  </cols>
  <sheetData>
    <row r="1" spans="1:12" s="419" customFormat="1" ht="24" customHeight="1">
      <c r="A1" s="314" t="s">
        <v>1153</v>
      </c>
      <c r="J1" s="487"/>
      <c r="K1" s="488"/>
      <c r="L1" s="488"/>
    </row>
    <row r="2" spans="1:12" s="453" customFormat="1" ht="18">
      <c r="A2" s="50">
        <f>selected_country</f>
        <v>0</v>
      </c>
      <c r="J2" s="489"/>
      <c r="K2" s="490"/>
      <c r="L2" s="490"/>
    </row>
    <row r="3" spans="1:12" ht="15" thickBot="1">
      <c r="A3" s="4"/>
      <c r="B3" s="756"/>
    </row>
    <row r="4" spans="1:12" ht="15" thickBot="1">
      <c r="A4" s="4"/>
      <c r="B4" s="3"/>
      <c r="C4" s="725" t="s">
        <v>1147</v>
      </c>
      <c r="G4" s="757" t="s">
        <v>1471</v>
      </c>
    </row>
    <row r="5" spans="1:12">
      <c r="A5" s="4"/>
      <c r="B5" s="3"/>
    </row>
    <row r="6" spans="1:12">
      <c r="A6" s="4"/>
      <c r="B6" s="756"/>
      <c r="C6" s="1065" t="s">
        <v>1148</v>
      </c>
      <c r="D6" s="1066"/>
      <c r="E6" s="1067"/>
      <c r="G6" s="615"/>
      <c r="H6" s="1065" t="s">
        <v>1149</v>
      </c>
      <c r="I6" s="1066"/>
      <c r="J6" s="1066"/>
      <c r="K6" s="1066"/>
      <c r="L6" s="1067"/>
    </row>
    <row r="7" spans="1:12" ht="43.2">
      <c r="B7" s="758" t="s">
        <v>1395</v>
      </c>
      <c r="C7" s="759" t="str">
        <f>"Actual number of services "&amp;baseline_year</f>
        <v xml:space="preserve">Actual number of services </v>
      </c>
      <c r="D7" s="759" t="str">
        <f>"Expected number of services "&amp;baseline_year</f>
        <v xml:space="preserve">Expected number of services </v>
      </c>
      <c r="E7" s="545" t="str">
        <f>"Coverage in "&amp;baseline_year</f>
        <v xml:space="preserve">Coverage in </v>
      </c>
      <c r="F7" s="756"/>
      <c r="G7" s="760">
        <f>baseline_year</f>
        <v>0</v>
      </c>
      <c r="H7" s="760">
        <f>baseline_year+1</f>
        <v>1</v>
      </c>
      <c r="I7" s="761">
        <f>H7+1</f>
        <v>2</v>
      </c>
      <c r="J7" s="761">
        <f>I7+1</f>
        <v>3</v>
      </c>
      <c r="K7" s="761">
        <f>J7+1</f>
        <v>4</v>
      </c>
      <c r="L7" s="762">
        <f>K7+1</f>
        <v>5</v>
      </c>
    </row>
    <row r="8" spans="1:12">
      <c r="B8" s="763"/>
      <c r="C8" s="64"/>
      <c r="D8" s="64"/>
      <c r="E8" s="65"/>
      <c r="G8" s="764"/>
      <c r="H8" s="764"/>
      <c r="I8" s="764"/>
      <c r="J8" s="764"/>
      <c r="K8" s="764"/>
      <c r="L8" s="764"/>
    </row>
    <row r="9" spans="1:12">
      <c r="A9" s="247">
        <v>1</v>
      </c>
      <c r="B9" s="6">
        <f>Package_Services!B8</f>
        <v>0</v>
      </c>
      <c r="C9" s="765">
        <v>0</v>
      </c>
      <c r="D9" s="766">
        <f>Summary_Services!R6</f>
        <v>0</v>
      </c>
      <c r="E9" s="767">
        <f>IF(D9=0,0,C9/D9)</f>
        <v>0</v>
      </c>
      <c r="F9" s="768"/>
      <c r="G9" s="769"/>
      <c r="H9" s="770"/>
      <c r="I9" s="770"/>
      <c r="J9" s="770"/>
      <c r="K9" s="770"/>
      <c r="L9" s="771"/>
    </row>
    <row r="10" spans="1:12">
      <c r="A10" s="247">
        <v>2</v>
      </c>
      <c r="B10" s="8">
        <f>Package_Services!B9</f>
        <v>0</v>
      </c>
      <c r="C10" s="772">
        <v>0</v>
      </c>
      <c r="D10" s="773">
        <f>Summary_Services!R7</f>
        <v>0</v>
      </c>
      <c r="E10" s="774">
        <f t="shared" ref="E10:E38" si="0">IF(D10=0,0,C10/D10)</f>
        <v>0</v>
      </c>
      <c r="F10" s="768"/>
      <c r="G10" s="775"/>
      <c r="H10" s="776"/>
      <c r="I10" s="776"/>
      <c r="J10" s="776"/>
      <c r="K10" s="776"/>
      <c r="L10" s="777"/>
    </row>
    <row r="11" spans="1:12">
      <c r="A11" s="247">
        <v>3</v>
      </c>
      <c r="B11" s="8">
        <f>Package_Services!B10</f>
        <v>0</v>
      </c>
      <c r="C11" s="772">
        <v>0</v>
      </c>
      <c r="D11" s="773">
        <f>Summary_Services!R8</f>
        <v>0</v>
      </c>
      <c r="E11" s="774">
        <f t="shared" si="0"/>
        <v>0</v>
      </c>
      <c r="F11" s="768"/>
      <c r="G11" s="775"/>
      <c r="H11" s="776"/>
      <c r="I11" s="776"/>
      <c r="J11" s="776"/>
      <c r="K11" s="776"/>
      <c r="L11" s="777"/>
    </row>
    <row r="12" spans="1:12">
      <c r="A12" s="247">
        <v>4</v>
      </c>
      <c r="B12" s="8">
        <f>Package_Services!B11</f>
        <v>0</v>
      </c>
      <c r="C12" s="772">
        <v>0</v>
      </c>
      <c r="D12" s="773">
        <f>Summary_Services!R9</f>
        <v>0</v>
      </c>
      <c r="E12" s="774">
        <f t="shared" si="0"/>
        <v>0</v>
      </c>
      <c r="F12" s="768"/>
      <c r="G12" s="775"/>
      <c r="H12" s="776"/>
      <c r="I12" s="776"/>
      <c r="J12" s="776"/>
      <c r="K12" s="776"/>
      <c r="L12" s="777"/>
    </row>
    <row r="13" spans="1:12">
      <c r="A13" s="247">
        <v>5</v>
      </c>
      <c r="B13" s="8">
        <f>Package_Services!B12</f>
        <v>0</v>
      </c>
      <c r="C13" s="772">
        <v>0</v>
      </c>
      <c r="D13" s="773">
        <f>Summary_Services!R10</f>
        <v>0</v>
      </c>
      <c r="E13" s="774">
        <f t="shared" si="0"/>
        <v>0</v>
      </c>
      <c r="F13" s="768"/>
      <c r="G13" s="775"/>
      <c r="H13" s="776"/>
      <c r="I13" s="776"/>
      <c r="J13" s="776"/>
      <c r="K13" s="776"/>
      <c r="L13" s="777"/>
    </row>
    <row r="14" spans="1:12">
      <c r="A14" s="247">
        <v>6</v>
      </c>
      <c r="B14" s="8">
        <f>Package_Services!B13</f>
        <v>0</v>
      </c>
      <c r="C14" s="772">
        <v>0</v>
      </c>
      <c r="D14" s="773">
        <f>Summary_Services!R11</f>
        <v>0</v>
      </c>
      <c r="E14" s="774">
        <f t="shared" si="0"/>
        <v>0</v>
      </c>
      <c r="F14" s="768"/>
      <c r="G14" s="775"/>
      <c r="H14" s="776"/>
      <c r="I14" s="776"/>
      <c r="J14" s="776"/>
      <c r="K14" s="776"/>
      <c r="L14" s="777"/>
    </row>
    <row r="15" spans="1:12">
      <c r="A15" s="247">
        <v>7</v>
      </c>
      <c r="B15" s="8">
        <f>Package_Services!B14</f>
        <v>0</v>
      </c>
      <c r="C15" s="772"/>
      <c r="D15" s="773">
        <f>Summary_Services!R12</f>
        <v>0</v>
      </c>
      <c r="E15" s="774">
        <f>IF(D15=0,0,C15/D15)</f>
        <v>0</v>
      </c>
      <c r="F15" s="768"/>
      <c r="G15" s="775"/>
      <c r="H15" s="776"/>
      <c r="I15" s="776"/>
      <c r="J15" s="776"/>
      <c r="K15" s="776"/>
      <c r="L15" s="777"/>
    </row>
    <row r="16" spans="1:12">
      <c r="A16" s="247">
        <v>8</v>
      </c>
      <c r="B16" s="8">
        <f>Package_Services!B15</f>
        <v>0</v>
      </c>
      <c r="C16" s="772">
        <v>0</v>
      </c>
      <c r="D16" s="773">
        <f>Summary_Services!R13</f>
        <v>0</v>
      </c>
      <c r="E16" s="774">
        <f>IF(D16=0,0,C16/D16)</f>
        <v>0</v>
      </c>
      <c r="F16" s="768"/>
      <c r="G16" s="775"/>
      <c r="H16" s="776"/>
      <c r="I16" s="776"/>
      <c r="J16" s="776"/>
      <c r="K16" s="776"/>
      <c r="L16" s="777"/>
    </row>
    <row r="17" spans="1:12">
      <c r="A17" s="247">
        <v>9</v>
      </c>
      <c r="B17" s="8">
        <f>Package_Services!B16</f>
        <v>0</v>
      </c>
      <c r="C17" s="772">
        <v>0</v>
      </c>
      <c r="D17" s="773">
        <f>Summary_Services!R14</f>
        <v>0</v>
      </c>
      <c r="E17" s="774">
        <f>IF(D17=0,0,C17/D17)</f>
        <v>0</v>
      </c>
      <c r="F17" s="768"/>
      <c r="G17" s="775"/>
      <c r="H17" s="776"/>
      <c r="I17" s="776"/>
      <c r="J17" s="776"/>
      <c r="K17" s="776"/>
      <c r="L17" s="777"/>
    </row>
    <row r="18" spans="1:12">
      <c r="A18" s="247">
        <v>10</v>
      </c>
      <c r="B18" s="8">
        <f>Package_Services!B17</f>
        <v>0</v>
      </c>
      <c r="C18" s="772">
        <v>0</v>
      </c>
      <c r="D18" s="773">
        <f>Summary_Services!R15</f>
        <v>0</v>
      </c>
      <c r="E18" s="774">
        <f t="shared" si="0"/>
        <v>0</v>
      </c>
      <c r="F18" s="768"/>
      <c r="G18" s="775"/>
      <c r="H18" s="776"/>
      <c r="I18" s="776"/>
      <c r="J18" s="776"/>
      <c r="K18" s="776"/>
      <c r="L18" s="777"/>
    </row>
    <row r="19" spans="1:12">
      <c r="A19" s="247">
        <v>11</v>
      </c>
      <c r="B19" s="8">
        <f>Package_Services!B18</f>
        <v>0</v>
      </c>
      <c r="C19" s="772">
        <v>0</v>
      </c>
      <c r="D19" s="773">
        <f>Summary_Services!R16</f>
        <v>0</v>
      </c>
      <c r="E19" s="774">
        <f t="shared" si="0"/>
        <v>0</v>
      </c>
      <c r="F19" s="768"/>
      <c r="G19" s="775"/>
      <c r="H19" s="776"/>
      <c r="I19" s="776"/>
      <c r="J19" s="776"/>
      <c r="K19" s="776"/>
      <c r="L19" s="777"/>
    </row>
    <row r="20" spans="1:12">
      <c r="A20" s="247">
        <v>12</v>
      </c>
      <c r="B20" s="8">
        <f>Package_Services!B19</f>
        <v>0</v>
      </c>
      <c r="C20" s="772">
        <v>0</v>
      </c>
      <c r="D20" s="773">
        <f>Summary_Services!R17</f>
        <v>0</v>
      </c>
      <c r="E20" s="774">
        <f t="shared" si="0"/>
        <v>0</v>
      </c>
      <c r="F20" s="768"/>
      <c r="G20" s="775"/>
      <c r="H20" s="776"/>
      <c r="I20" s="776"/>
      <c r="J20" s="776"/>
      <c r="K20" s="776"/>
      <c r="L20" s="777"/>
    </row>
    <row r="21" spans="1:12">
      <c r="A21" s="247">
        <v>13</v>
      </c>
      <c r="B21" s="8">
        <f>Package_Services!B20</f>
        <v>0</v>
      </c>
      <c r="C21" s="772">
        <v>0</v>
      </c>
      <c r="D21" s="773">
        <f>Summary_Services!R18</f>
        <v>0</v>
      </c>
      <c r="E21" s="774">
        <f t="shared" si="0"/>
        <v>0</v>
      </c>
      <c r="F21" s="768"/>
      <c r="G21" s="775"/>
      <c r="H21" s="776"/>
      <c r="I21" s="776"/>
      <c r="J21" s="776"/>
      <c r="K21" s="776"/>
      <c r="L21" s="777"/>
    </row>
    <row r="22" spans="1:12">
      <c r="A22" s="247">
        <v>14</v>
      </c>
      <c r="B22" s="8">
        <f>Package_Services!B21</f>
        <v>0</v>
      </c>
      <c r="C22" s="772">
        <v>0</v>
      </c>
      <c r="D22" s="773">
        <f>Summary_Services!R19</f>
        <v>0</v>
      </c>
      <c r="E22" s="774">
        <f t="shared" si="0"/>
        <v>0</v>
      </c>
      <c r="F22" s="768"/>
      <c r="G22" s="775"/>
      <c r="H22" s="776"/>
      <c r="I22" s="776"/>
      <c r="J22" s="776"/>
      <c r="K22" s="776"/>
      <c r="L22" s="777"/>
    </row>
    <row r="23" spans="1:12">
      <c r="A23" s="247">
        <v>15</v>
      </c>
      <c r="B23" s="8">
        <f>Package_Services!B22</f>
        <v>0</v>
      </c>
      <c r="C23" s="772">
        <v>0</v>
      </c>
      <c r="D23" s="773">
        <f>Summary_Services!R20</f>
        <v>0</v>
      </c>
      <c r="E23" s="774">
        <f t="shared" si="0"/>
        <v>0</v>
      </c>
      <c r="F23" s="768"/>
      <c r="G23" s="775"/>
      <c r="H23" s="776"/>
      <c r="I23" s="776"/>
      <c r="J23" s="776"/>
      <c r="K23" s="776"/>
      <c r="L23" s="777"/>
    </row>
    <row r="24" spans="1:12">
      <c r="A24" s="247">
        <v>16</v>
      </c>
      <c r="B24" s="8">
        <f>Package_Services!B23</f>
        <v>0</v>
      </c>
      <c r="C24" s="772">
        <v>0</v>
      </c>
      <c r="D24" s="773">
        <f>Summary_Services!R21</f>
        <v>0</v>
      </c>
      <c r="E24" s="774">
        <f t="shared" si="0"/>
        <v>0</v>
      </c>
      <c r="F24" s="768"/>
      <c r="G24" s="775"/>
      <c r="H24" s="776"/>
      <c r="I24" s="776"/>
      <c r="J24" s="776"/>
      <c r="K24" s="776"/>
      <c r="L24" s="777"/>
    </row>
    <row r="25" spans="1:12">
      <c r="A25" s="247">
        <v>17</v>
      </c>
      <c r="B25" s="8">
        <f>Package_Services!B24</f>
        <v>0</v>
      </c>
      <c r="C25" s="772">
        <v>0</v>
      </c>
      <c r="D25" s="773">
        <f>Summary_Services!R22</f>
        <v>0</v>
      </c>
      <c r="E25" s="774">
        <f t="shared" si="0"/>
        <v>0</v>
      </c>
      <c r="F25" s="768"/>
      <c r="G25" s="775"/>
      <c r="H25" s="776"/>
      <c r="I25" s="776"/>
      <c r="J25" s="776"/>
      <c r="K25" s="776"/>
      <c r="L25" s="777"/>
    </row>
    <row r="26" spans="1:12">
      <c r="A26" s="247">
        <v>18</v>
      </c>
      <c r="B26" s="8">
        <f>Package_Services!B25</f>
        <v>0</v>
      </c>
      <c r="C26" s="772">
        <v>0</v>
      </c>
      <c r="D26" s="773">
        <f>Summary_Services!R23</f>
        <v>0</v>
      </c>
      <c r="E26" s="774">
        <f t="shared" si="0"/>
        <v>0</v>
      </c>
      <c r="F26" s="768"/>
      <c r="G26" s="775"/>
      <c r="H26" s="776"/>
      <c r="I26" s="776"/>
      <c r="J26" s="776"/>
      <c r="K26" s="776"/>
      <c r="L26" s="777"/>
    </row>
    <row r="27" spans="1:12">
      <c r="A27" s="247">
        <v>19</v>
      </c>
      <c r="B27" s="8">
        <f>Package_Services!B26</f>
        <v>0</v>
      </c>
      <c r="C27" s="772">
        <v>0</v>
      </c>
      <c r="D27" s="773">
        <f>Summary_Services!R24</f>
        <v>0</v>
      </c>
      <c r="E27" s="774">
        <f t="shared" si="0"/>
        <v>0</v>
      </c>
      <c r="F27" s="768"/>
      <c r="G27" s="775"/>
      <c r="H27" s="776"/>
      <c r="I27" s="776"/>
      <c r="J27" s="776"/>
      <c r="K27" s="776"/>
      <c r="L27" s="777"/>
    </row>
    <row r="28" spans="1:12">
      <c r="A28" s="247">
        <v>20</v>
      </c>
      <c r="B28" s="8">
        <f>Package_Services!B27</f>
        <v>0</v>
      </c>
      <c r="C28" s="772">
        <v>0</v>
      </c>
      <c r="D28" s="773">
        <f>Summary_Services!R25</f>
        <v>0</v>
      </c>
      <c r="E28" s="774">
        <f t="shared" si="0"/>
        <v>0</v>
      </c>
      <c r="F28" s="768"/>
      <c r="G28" s="775"/>
      <c r="H28" s="776"/>
      <c r="I28" s="776"/>
      <c r="J28" s="776"/>
      <c r="K28" s="776"/>
      <c r="L28" s="777"/>
    </row>
    <row r="29" spans="1:12">
      <c r="A29" s="247">
        <v>21</v>
      </c>
      <c r="B29" s="8">
        <f>Package_Services!B28</f>
        <v>0</v>
      </c>
      <c r="C29" s="772">
        <v>0</v>
      </c>
      <c r="D29" s="773">
        <f>Summary_Services!R26</f>
        <v>0</v>
      </c>
      <c r="E29" s="774">
        <f t="shared" si="0"/>
        <v>0</v>
      </c>
      <c r="F29" s="768"/>
      <c r="G29" s="775"/>
      <c r="H29" s="776"/>
      <c r="I29" s="776"/>
      <c r="J29" s="776"/>
      <c r="K29" s="776"/>
      <c r="L29" s="777"/>
    </row>
    <row r="30" spans="1:12">
      <c r="A30" s="247">
        <v>22</v>
      </c>
      <c r="B30" s="8">
        <f>Package_Services!B29</f>
        <v>0</v>
      </c>
      <c r="C30" s="772">
        <v>0</v>
      </c>
      <c r="D30" s="773">
        <f>Summary_Services!R27</f>
        <v>0</v>
      </c>
      <c r="E30" s="774">
        <f t="shared" si="0"/>
        <v>0</v>
      </c>
      <c r="F30" s="768"/>
      <c r="G30" s="775"/>
      <c r="H30" s="776"/>
      <c r="I30" s="776"/>
      <c r="J30" s="776"/>
      <c r="K30" s="776"/>
      <c r="L30" s="777"/>
    </row>
    <row r="31" spans="1:12">
      <c r="A31" s="247">
        <v>23</v>
      </c>
      <c r="B31" s="8">
        <f>Package_Services!B30</f>
        <v>0</v>
      </c>
      <c r="C31" s="772">
        <v>0</v>
      </c>
      <c r="D31" s="773">
        <f>Summary_Services!R28</f>
        <v>0</v>
      </c>
      <c r="E31" s="774">
        <f t="shared" si="0"/>
        <v>0</v>
      </c>
      <c r="F31" s="768"/>
      <c r="G31" s="775"/>
      <c r="H31" s="776"/>
      <c r="I31" s="776"/>
      <c r="J31" s="776"/>
      <c r="K31" s="776"/>
      <c r="L31" s="777"/>
    </row>
    <row r="32" spans="1:12">
      <c r="A32" s="247">
        <v>24</v>
      </c>
      <c r="B32" s="8">
        <f>Package_Services!B31</f>
        <v>0</v>
      </c>
      <c r="C32" s="772">
        <v>0</v>
      </c>
      <c r="D32" s="773">
        <f>Summary_Services!R29</f>
        <v>0</v>
      </c>
      <c r="E32" s="774">
        <f t="shared" si="0"/>
        <v>0</v>
      </c>
      <c r="F32" s="768"/>
      <c r="G32" s="775"/>
      <c r="H32" s="776"/>
      <c r="I32" s="776"/>
      <c r="J32" s="776"/>
      <c r="K32" s="776"/>
      <c r="L32" s="777"/>
    </row>
    <row r="33" spans="1:12">
      <c r="A33" s="247">
        <v>25</v>
      </c>
      <c r="B33" s="8">
        <f>Package_Services!B32</f>
        <v>0</v>
      </c>
      <c r="C33" s="772">
        <v>0</v>
      </c>
      <c r="D33" s="773">
        <f>Summary_Services!R30</f>
        <v>0</v>
      </c>
      <c r="E33" s="774">
        <f t="shared" si="0"/>
        <v>0</v>
      </c>
      <c r="F33" s="768"/>
      <c r="G33" s="775"/>
      <c r="H33" s="776"/>
      <c r="I33" s="776"/>
      <c r="J33" s="776"/>
      <c r="K33" s="776"/>
      <c r="L33" s="777"/>
    </row>
    <row r="34" spans="1:12">
      <c r="A34" s="247">
        <v>26</v>
      </c>
      <c r="B34" s="8">
        <f>Package_Services!B33</f>
        <v>0</v>
      </c>
      <c r="C34" s="772">
        <v>0</v>
      </c>
      <c r="D34" s="773">
        <f>Summary_Services!R31</f>
        <v>0</v>
      </c>
      <c r="E34" s="774">
        <f t="shared" si="0"/>
        <v>0</v>
      </c>
      <c r="F34" s="768"/>
      <c r="G34" s="775"/>
      <c r="H34" s="776"/>
      <c r="I34" s="776"/>
      <c r="J34" s="776"/>
      <c r="K34" s="776"/>
      <c r="L34" s="777"/>
    </row>
    <row r="35" spans="1:12">
      <c r="A35" s="247">
        <v>27</v>
      </c>
      <c r="B35" s="8">
        <f>Package_Services!B34</f>
        <v>0</v>
      </c>
      <c r="C35" s="772">
        <v>0</v>
      </c>
      <c r="D35" s="773">
        <f>Summary_Services!R32</f>
        <v>0</v>
      </c>
      <c r="E35" s="774">
        <f t="shared" si="0"/>
        <v>0</v>
      </c>
      <c r="F35" s="78"/>
      <c r="G35" s="775"/>
      <c r="H35" s="776"/>
      <c r="I35" s="776"/>
      <c r="J35" s="776"/>
      <c r="K35" s="776"/>
      <c r="L35" s="777"/>
    </row>
    <row r="36" spans="1:12">
      <c r="A36" s="247">
        <v>28</v>
      </c>
      <c r="B36" s="8">
        <f>Package_Services!B35</f>
        <v>0</v>
      </c>
      <c r="C36" s="772">
        <v>0</v>
      </c>
      <c r="D36" s="773">
        <f>Summary_Services!R33</f>
        <v>0</v>
      </c>
      <c r="E36" s="778">
        <f t="shared" si="0"/>
        <v>0</v>
      </c>
      <c r="F36" s="78"/>
      <c r="G36" s="775"/>
      <c r="H36" s="776"/>
      <c r="I36" s="776"/>
      <c r="J36" s="776"/>
      <c r="K36" s="776"/>
      <c r="L36" s="777"/>
    </row>
    <row r="37" spans="1:12">
      <c r="A37" s="247">
        <v>29</v>
      </c>
      <c r="B37" s="8">
        <f>Package_Services!B36</f>
        <v>0</v>
      </c>
      <c r="C37" s="772">
        <v>0</v>
      </c>
      <c r="D37" s="773">
        <f>Summary_Services!R34</f>
        <v>0</v>
      </c>
      <c r="E37" s="778">
        <f t="shared" si="0"/>
        <v>0</v>
      </c>
      <c r="F37" s="78"/>
      <c r="G37" s="775"/>
      <c r="H37" s="776"/>
      <c r="I37" s="776"/>
      <c r="J37" s="776"/>
      <c r="K37" s="776"/>
      <c r="L37" s="777"/>
    </row>
    <row r="38" spans="1:12">
      <c r="A38" s="247">
        <v>30</v>
      </c>
      <c r="B38" s="9">
        <f>Package_Services!B37</f>
        <v>0</v>
      </c>
      <c r="C38" s="779">
        <v>0</v>
      </c>
      <c r="D38" s="780">
        <f>Summary_Services!R35</f>
        <v>0</v>
      </c>
      <c r="E38" s="781">
        <f t="shared" si="0"/>
        <v>0</v>
      </c>
      <c r="F38" s="782"/>
      <c r="G38" s="783"/>
      <c r="H38" s="784"/>
      <c r="I38" s="784"/>
      <c r="J38" s="784"/>
      <c r="K38" s="784"/>
      <c r="L38" s="785"/>
    </row>
    <row r="39" spans="1:12">
      <c r="A39" s="247"/>
    </row>
    <row r="40" spans="1:12">
      <c r="A40" s="247"/>
    </row>
    <row r="41" spans="1:12">
      <c r="A41" s="247"/>
    </row>
    <row r="42" spans="1:12">
      <c r="A42" s="247"/>
    </row>
    <row r="43" spans="1:12">
      <c r="A43" s="247"/>
    </row>
    <row r="44" spans="1:12">
      <c r="A44" s="247"/>
    </row>
    <row r="45" spans="1:12">
      <c r="A45" s="247"/>
    </row>
    <row r="46" spans="1:12">
      <c r="A46" s="247"/>
    </row>
    <row r="47" spans="1:12">
      <c r="A47" s="247"/>
    </row>
    <row r="48" spans="1:12">
      <c r="A48" s="247"/>
    </row>
  </sheetData>
  <sheetProtection selectLockedCells="1"/>
  <mergeCells count="2">
    <mergeCell ref="C6:E6"/>
    <mergeCell ref="H6:L6"/>
  </mergeCells>
  <conditionalFormatting sqref="E9:E38">
    <cfRule type="cellIs" dxfId="32" priority="7" operator="greaterThan">
      <formula>1</formula>
    </cfRule>
  </conditionalFormatting>
  <conditionalFormatting sqref="G9:G38">
    <cfRule type="expression" dxfId="31" priority="1">
      <formula>$G$4="Actual"</formula>
    </cfRule>
  </conditionalFormatting>
  <dataValidations count="1">
    <dataValidation type="list" allowBlank="1" showInputMessage="1" showErrorMessage="1" sqref="G4">
      <formula1>"Actual, Coverage Calculation"</formula1>
    </dataValidation>
  </dataValidations>
  <pageMargins left="0.7" right="0.7" top="0.75" bottom="0.75" header="0.3" footer="0.3"/>
  <pageSetup paperSize="9"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77</vt:i4>
      </vt:variant>
    </vt:vector>
  </HeadingPairs>
  <TitlesOfParts>
    <vt:vector size="115" baseType="lpstr">
      <vt:lpstr>Title</vt:lpstr>
      <vt:lpstr>Menu</vt:lpstr>
      <vt:lpstr>Guide</vt:lpstr>
      <vt:lpstr>INPUTS-&gt;</vt:lpstr>
      <vt:lpstr>Parameters</vt:lpstr>
      <vt:lpstr>Scale-up</vt:lpstr>
      <vt:lpstr>SERVICES-&gt;</vt:lpstr>
      <vt:lpstr>Package_Services</vt:lpstr>
      <vt:lpstr>Coverage</vt:lpstr>
      <vt:lpstr>Treatment_Guidelines</vt:lpstr>
      <vt:lpstr>COST CATEGORIES-&gt;</vt:lpstr>
      <vt:lpstr>Staff_Costs</vt:lpstr>
      <vt:lpstr>Training</vt:lpstr>
      <vt:lpstr>Equipment</vt:lpstr>
      <vt:lpstr>Assistive_Products_Costs</vt:lpstr>
      <vt:lpstr>Other_Recurrent_Costs</vt:lpstr>
      <vt:lpstr>Start_Up_Capital_Costs</vt:lpstr>
      <vt:lpstr>Financing</vt:lpstr>
      <vt:lpstr>SUMMARY TABS-&gt;</vt:lpstr>
      <vt:lpstr>Summary_Tables</vt:lpstr>
      <vt:lpstr>Graphs</vt:lpstr>
      <vt:lpstr>AP_Quantification</vt:lpstr>
      <vt:lpstr>Summary_TG</vt:lpstr>
      <vt:lpstr>Demography</vt:lpstr>
      <vt:lpstr>Summary_Services</vt:lpstr>
      <vt:lpstr>Summary_HCW</vt:lpstr>
      <vt:lpstr>Quantification</vt:lpstr>
      <vt:lpstr>Cost_by_Input</vt:lpstr>
      <vt:lpstr>Cost_per_Service</vt:lpstr>
      <vt:lpstr>Lists</vt:lpstr>
      <vt:lpstr>REFERENCE DATA-&gt;</vt:lpstr>
      <vt:lpstr>Ref | Country_Database</vt:lpstr>
      <vt:lpstr>Ref | AT_Catalogue_Vision</vt:lpstr>
      <vt:lpstr>Ref | Salary_Scales</vt:lpstr>
      <vt:lpstr>Ref | Blank 1</vt:lpstr>
      <vt:lpstr>Ref | Blank 2</vt:lpstr>
      <vt:lpstr>Ref | Blank 3</vt:lpstr>
      <vt:lpstr>Back_Calculations</vt:lpstr>
      <vt:lpstr>_rt1</vt:lpstr>
      <vt:lpstr>_rt10</vt:lpstr>
      <vt:lpstr>_rt2</vt:lpstr>
      <vt:lpstr>_rt3</vt:lpstr>
      <vt:lpstr>_rt4</vt:lpstr>
      <vt:lpstr>_rt5</vt:lpstr>
      <vt:lpstr>_rt6</vt:lpstr>
      <vt:lpstr>_rt7</vt:lpstr>
      <vt:lpstr>_rt8</vt:lpstr>
      <vt:lpstr>_rt9</vt:lpstr>
      <vt:lpstr>assistive_device_list</vt:lpstr>
      <vt:lpstr>baseline_year</vt:lpstr>
      <vt:lpstr>country_database</vt:lpstr>
      <vt:lpstr>country_list</vt:lpstr>
      <vt:lpstr>currencies</vt:lpstr>
      <vt:lpstr>currency_calculation</vt:lpstr>
      <vt:lpstr>currency_results</vt:lpstr>
      <vt:lpstr>currency_used</vt:lpstr>
      <vt:lpstr>database_indicators</vt:lpstr>
      <vt:lpstr>Demography!default_pop_categories</vt:lpstr>
      <vt:lpstr>device_markup</vt:lpstr>
      <vt:lpstr>discount_rate</vt:lpstr>
      <vt:lpstr>exchange_rate</vt:lpstr>
      <vt:lpstr>frequency_service_provision</vt:lpstr>
      <vt:lpstr>funding_sources</vt:lpstr>
      <vt:lpstr>healthsystem_levels</vt:lpstr>
      <vt:lpstr>inflation_rate</vt:lpstr>
      <vt:lpstr>input_list</vt:lpstr>
      <vt:lpstr>interest_rate</vt:lpstr>
      <vt:lpstr>length_of_program</vt:lpstr>
      <vt:lpstr>level1</vt:lpstr>
      <vt:lpstr>level2</vt:lpstr>
      <vt:lpstr>level3</vt:lpstr>
      <vt:lpstr>level4</vt:lpstr>
      <vt:lpstr>lookup_assistive_device</vt:lpstr>
      <vt:lpstr>lookup_demography</vt:lpstr>
      <vt:lpstr>lookup_healthsystemlevels</vt:lpstr>
      <vt:lpstr>lookup_rt_numbers</vt:lpstr>
      <vt:lpstr>lookup_rt_recurrent</vt:lpstr>
      <vt:lpstr>lookup_salaries</vt:lpstr>
      <vt:lpstr>lookup_targetpop</vt:lpstr>
      <vt:lpstr>lookup_time_cost</vt:lpstr>
      <vt:lpstr>markup_equipement</vt:lpstr>
      <vt:lpstr>national_currency</vt:lpstr>
      <vt:lpstr>national_pop</vt:lpstr>
      <vt:lpstr>national_pop_growth</vt:lpstr>
      <vt:lpstr>Demography!percent_0_1</vt:lpstr>
      <vt:lpstr>Demography!percent_0_5</vt:lpstr>
      <vt:lpstr>Demography!percent_15_24</vt:lpstr>
      <vt:lpstr>Demography!percent_25_49</vt:lpstr>
      <vt:lpstr>Demography!percent_5_14</vt:lpstr>
      <vt:lpstr>Demography!percent_50</vt:lpstr>
      <vt:lpstr>Demography!percent_female</vt:lpstr>
      <vt:lpstr>program</vt:lpstr>
      <vt:lpstr>program_list</vt:lpstr>
      <vt:lpstr>rt_cat</vt:lpstr>
      <vt:lpstr>salary_increase</vt:lpstr>
      <vt:lpstr>scaleup</vt:lpstr>
      <vt:lpstr>selected_country</vt:lpstr>
      <vt:lpstr>service_type</vt:lpstr>
      <vt:lpstr>stg_cost1</vt:lpstr>
      <vt:lpstr>stg_cost2</vt:lpstr>
      <vt:lpstr>stg_cost3</vt:lpstr>
      <vt:lpstr>stg_cost4</vt:lpstr>
      <vt:lpstr>stg_cost5</vt:lpstr>
      <vt:lpstr>stg_cost6</vt:lpstr>
      <vt:lpstr>stg_list</vt:lpstr>
      <vt:lpstr>stg_unit1</vt:lpstr>
      <vt:lpstr>stg_unit2</vt:lpstr>
      <vt:lpstr>stg_unit3</vt:lpstr>
      <vt:lpstr>stg_unit4</vt:lpstr>
      <vt:lpstr>stg_unit5</vt:lpstr>
      <vt:lpstr>stg_unit6</vt:lpstr>
      <vt:lpstr>target_pop</vt:lpstr>
      <vt:lpstr>target_pops</vt:lpstr>
      <vt:lpstr>tool_name</vt:lpstr>
      <vt:lpstr>year_dropdown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Tucker Bbosa</dc:creator>
  <cp:lastModifiedBy>Alejandro Amblar</cp:lastModifiedBy>
  <dcterms:created xsi:type="dcterms:W3CDTF">2020-11-17T11:41:59Z</dcterms:created>
  <dcterms:modified xsi:type="dcterms:W3CDTF">2025-12-01T12:47:43Z</dcterms:modified>
</cp:coreProperties>
</file>